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fredert\Documents\Work\Genesys\Projet\environement\ucs\ucs-tng\doc\sizing\"/>
    </mc:Choice>
  </mc:AlternateContent>
  <workbookProtection workbookAlgorithmName="SHA-512" workbookHashValue="duEDf0vAvKGC7cWFcXHQKO7tGKZHaLjd8PFhf5lNNmTF2sNcjJyUmkpyvzVdVAKc6wLbaVS5IIXxcRZA8Yw2pw==" workbookSaltValue="lpxqu2VGfGUgfY+p8Ul1Rg==" workbookSpinCount="100000" lockStructure="1"/>
  <bookViews>
    <workbookView xWindow="0" yWindow="0" windowWidth="17280" windowHeight="6825"/>
  </bookViews>
  <sheets>
    <sheet name="Main" sheetId="1" r:id="rId1"/>
    <sheet name="Advanced" sheetId="6" r:id="rId2"/>
    <sheet name="Migration" sheetId="7" r:id="rId3"/>
    <sheet name="Server profiles" sheetId="4" r:id="rId4"/>
    <sheet name="Data Transfer" sheetId="5" r:id="rId5"/>
    <sheet name="DiskUsage" sheetId="3" state="hidden" r:id="rId6"/>
    <sheet name="Data" sheetId="2" state="hidden" r:id="rId7"/>
  </sheets>
  <definedNames>
    <definedName name="AttachmentDiskUsagePerHour">DiskUsage!$B$14</definedName>
    <definedName name="AttMigrationFlowPerSec">Data!$B$26</definedName>
    <definedName name="AvgAttchSize">Advanced!$C$10</definedName>
    <definedName name="AvgExtensionSize">Data!$B$4</definedName>
    <definedName name="CallPerHour" localSheetId="1">Advanced!$D$7</definedName>
    <definedName name="CallPerHour" localSheetId="2">Migration!$C$10</definedName>
    <definedName name="CallPerHour">Main!$C$8</definedName>
    <definedName name="CassandraCompressionFactor">DiskUsage!$B$19</definedName>
    <definedName name="CassandraNodeDiskSize">'Server profiles'!$C$20</definedName>
    <definedName name="cassandraNodeFormattedDiskSpace">DiskUsage!$B$17</definedName>
    <definedName name="CassandraRF" localSheetId="1">Advanced!$D$10</definedName>
    <definedName name="CassandraRF" localSheetId="2">Migration!#REF!</definedName>
    <definedName name="CassandraRF">Main!$C$11</definedName>
    <definedName name="ChatDiskUsagePerHour">DiskUsage!$B$6</definedName>
    <definedName name="ChatPerHour" localSheetId="1">Advanced!$D$6</definedName>
    <definedName name="ChatPerHour" localSheetId="2">Migration!$C$9</definedName>
    <definedName name="ChatPerHour">Main!$C$7</definedName>
    <definedName name="ChatSize">Advanced!$C$6</definedName>
    <definedName name="CompactionDiskUsageFactor">Data!$B$20</definedName>
    <definedName name="ContactExtensionUsagePerHour">DiskUsage!$B$2</definedName>
    <definedName name="ContactFlowPerSec">Data!$B$24</definedName>
    <definedName name="ContactPerHour" localSheetId="1">Advanced!#REF!</definedName>
    <definedName name="ContactPerHour" localSheetId="2">Migration!$C$5</definedName>
    <definedName name="ContactPerHour">Main!$C$5</definedName>
    <definedName name="ContactSize">Data!$B$3</definedName>
    <definedName name="CoreContactDiskUsagePerHour">DiskUsage!$B$1</definedName>
    <definedName name="DbMigrationSize">Migration!$C$27</definedName>
    <definedName name="DiskContactPerHour">DiskUsage!$B$11</definedName>
    <definedName name="DiskContactPerHourEs">DiskUsage!$B$12</definedName>
    <definedName name="DiskIxnEsPerHour">DiskUsage!$B$10</definedName>
    <definedName name="DiskIxnPerHour">DiskUsage!$B$9</definedName>
    <definedName name="EmailDiskUsagePerHour">DiskUsage!$B$5</definedName>
    <definedName name="EmailPerHour" localSheetId="1">Advanced!$D$5</definedName>
    <definedName name="EmailPerHour" localSheetId="2">Migration!$C$7</definedName>
    <definedName name="EmailPerHour">Main!$C$6</definedName>
    <definedName name="EmailSize">Advanced!$C$5</definedName>
    <definedName name="ESCompressionFactor">DiskUsage!$B$20</definedName>
    <definedName name="EsDataFor1GbOfRam">Data!$B$22</definedName>
    <definedName name="EsMigrationSize">Migration!$C$30</definedName>
    <definedName name="ESReplicaFactor">Advanced!$C$20</definedName>
    <definedName name="GDPSNodeFactor">DiskUsage!$B$21</definedName>
    <definedName name="IxnMigrationFlowPerSec">Data!$B$25</definedName>
    <definedName name="Ixnsize">Data!$B$5</definedName>
    <definedName name="MaxInteractionPerCass">Data!$B$18</definedName>
    <definedName name="MaxRequestPerUCS">Data!$B$17</definedName>
    <definedName name="MaxSizeDisk">Advanced!$C$18</definedName>
    <definedName name="MaxUcsGib">'Server profiles'!$D$6</definedName>
    <definedName name="MinCassandraNodes">DiskUsage!$B$23</definedName>
    <definedName name="MinimalRAM">Data!$B$28</definedName>
    <definedName name="NbAvgContactAttribute">Migration!$C$6</definedName>
    <definedName name="NbCassandraNode">DiskUsage!$B$25</definedName>
    <definedName name="NbChat">Migration!$C$9</definedName>
    <definedName name="NbContact">Migration!$C$5</definedName>
    <definedName name="NbEmail">Migration!$C$7</definedName>
    <definedName name="NbEsNode">DiskUsage!$B$24</definedName>
    <definedName name="NbExtensionPerContact">Advanced!$C$12</definedName>
    <definedName name="NBInteractionPerSecond">Data!$B$15</definedName>
    <definedName name="NbOtherMedia">Migration!$C$11</definedName>
    <definedName name="NbRecommendedCassandraNode" localSheetId="2">Migration!#REF!</definedName>
    <definedName name="NbRecommendedCassandraNode">Main!$C$21</definedName>
    <definedName name="NbRecommendedEsNodes">Main!$C$19</definedName>
    <definedName name="NbRequestPerChat">Data!$B$8</definedName>
    <definedName name="NbRequestPerContact">Data!$B$12</definedName>
    <definedName name="NbRequestPerEmail">Data!$B$7</definedName>
    <definedName name="NbRequestPerEmailAtt">Data!$B$11</definedName>
    <definedName name="NbRequestPerOtherMedia">Data!$B$10</definedName>
    <definedName name="NbRequestPerSecond">Data!$B$14</definedName>
    <definedName name="NbRequestPerVoice">Data!$B$9</definedName>
    <definedName name="NbVoice">Migration!$C$10</definedName>
    <definedName name="OpeningDayWeek">Advanced!$C$16</definedName>
    <definedName name="OpeningHour">Advanced!$C$14</definedName>
    <definedName name="OtherIxnDiskUsagePerHour">DiskUsage!$B$7</definedName>
    <definedName name="OtherIxnPerHour" localSheetId="1">Advanced!$D$8</definedName>
    <definedName name="OtherIxnPerHour" localSheetId="2">Migration!$C$11</definedName>
    <definedName name="OtherIxnPerHour">Main!$C$9</definedName>
    <definedName name="PercentageOfAttachment">Advanced!$C$9</definedName>
    <definedName name="RecommandedRAM">Data!$B$29</definedName>
    <definedName name="TotalAttSize">Migration!$C$8</definedName>
    <definedName name="TotalContactUsagePerHour">DiskUsage!$B$3</definedName>
    <definedName name="TotalDbSizePerDay" localSheetId="2">Migration!#REF!</definedName>
    <definedName name="TotalDbSizePerDay">Main!$D$30</definedName>
    <definedName name="TotalDbSizePerHour" localSheetId="2">Migration!#REF!</definedName>
    <definedName name="TotalDbSizePerHour">Main!$C$30</definedName>
    <definedName name="TotalDbSizePerMonth" localSheetId="2">Migration!#REF!</definedName>
    <definedName name="TotalDbSizePerMonth">Main!$F$30</definedName>
    <definedName name="TotalDbSizePerWeek" localSheetId="2">Migration!#REF!</definedName>
    <definedName name="TotalDbSizePerWeek">Main!$E$30</definedName>
    <definedName name="TotalDbSizePerYear" localSheetId="2">Migration!#REF!</definedName>
    <definedName name="TotalDbSizePerYear">Main!$G$30</definedName>
    <definedName name="TotalEsTtlSize">Main!$H$37</definedName>
    <definedName name="TotalSizeEsDay" localSheetId="2">Migration!#REF!</definedName>
    <definedName name="TotalSizeEsDay">Main!$D$37</definedName>
    <definedName name="TotalSizeEsHour" localSheetId="2">Migration!$C$30</definedName>
    <definedName name="TotalSizeEsHour">Main!$C$37</definedName>
    <definedName name="TotalSizeEsMonth" localSheetId="2">Migration!#REF!</definedName>
    <definedName name="TotalSizeEsMonth">Main!$E$37</definedName>
    <definedName name="TotalSizeEsWeek" localSheetId="2">Migration!#REF!</definedName>
    <definedName name="TotalSizeEsWeek">Main!$E$37</definedName>
    <definedName name="TotalSizeEsYear" localSheetId="2">Migration!#REF!</definedName>
    <definedName name="TotalSizeEsYear">Main!$G$37</definedName>
    <definedName name="TotalTtlSize">Main!$H$30</definedName>
    <definedName name="TTL" localSheetId="2">Migration!#REF!</definedName>
    <definedName name="TTL">Main!$C$12</definedName>
    <definedName name="UcsMinGib">'Server profiles'!$C$6</definedName>
    <definedName name="VoiceDiskUsagePerHour">DiskUsage!$B$8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5" l="1"/>
  <c r="E7" i="5" s="1"/>
  <c r="H44" i="1"/>
  <c r="H37" i="1"/>
  <c r="H30" i="1"/>
  <c r="F44" i="1" l="1"/>
  <c r="G44" i="1" l="1"/>
  <c r="E44" i="1"/>
  <c r="G37" i="1"/>
  <c r="F37" i="1"/>
  <c r="E37" i="1"/>
  <c r="C37" i="1"/>
  <c r="G30" i="1"/>
  <c r="F30" i="1"/>
  <c r="E30" i="1"/>
  <c r="D30" i="1"/>
  <c r="C30" i="1"/>
  <c r="C20" i="7" l="1"/>
  <c r="D20" i="7" s="1"/>
  <c r="E20" i="7" s="1"/>
  <c r="F20" i="7" s="1"/>
  <c r="G20" i="7" s="1"/>
  <c r="H20" i="7" s="1"/>
  <c r="I20" i="7" s="1"/>
  <c r="J20" i="7" s="1"/>
  <c r="K20" i="7" s="1"/>
  <c r="L20" i="7" s="1"/>
  <c r="C20" i="4"/>
  <c r="B6" i="3"/>
  <c r="B5" i="3"/>
  <c r="B12" i="3" l="1"/>
  <c r="B11" i="3"/>
  <c r="E51" i="1"/>
  <c r="G51" i="1" s="1"/>
  <c r="F51" i="1" l="1"/>
  <c r="C30" i="7"/>
  <c r="C27" i="7" l="1"/>
  <c r="C51" i="1" l="1"/>
  <c r="C44" i="1"/>
  <c r="B2" i="3" l="1"/>
  <c r="B14" i="2" l="1"/>
  <c r="C17" i="1" l="1"/>
  <c r="B8" i="3"/>
  <c r="B7" i="3"/>
  <c r="B10" i="3" l="1"/>
  <c r="D51" i="1"/>
  <c r="D44" i="1"/>
  <c r="G17" i="1"/>
  <c r="B24" i="3" l="1"/>
  <c r="B23" i="3"/>
  <c r="B15" i="2" l="1"/>
  <c r="G19" i="1" l="1"/>
  <c r="B1" i="3" l="1"/>
  <c r="B3" i="3" s="1"/>
  <c r="B14" i="3" l="1"/>
  <c r="B9" i="3" s="1"/>
  <c r="B7" i="5" l="1"/>
  <c r="D37" i="1"/>
  <c r="C7" i="5" l="1"/>
  <c r="B25" i="3" l="1"/>
  <c r="F7" i="5"/>
  <c r="B17" i="3"/>
  <c r="B18" i="3" s="1"/>
  <c r="C19" i="1" l="1"/>
  <c r="C26" i="4" s="1"/>
  <c r="C21" i="1"/>
</calcChain>
</file>

<file path=xl/comments1.xml><?xml version="1.0" encoding="utf-8"?>
<comments xmlns="http://schemas.openxmlformats.org/spreadsheetml/2006/main">
  <authors>
    <author>Frederic Thomas</author>
  </authors>
  <commentList>
    <comment ref="C20" authorId="0" shapeId="0">
      <text>
        <r>
          <rPr>
            <sz val="9"/>
            <color indexed="81"/>
            <rFont val="Tahoma"/>
            <charset val="1"/>
          </rPr>
          <t xml:space="preserve">Max of data per node * 2 
(50% space required for compaction)
</t>
        </r>
      </text>
    </comment>
    <comment ref="C26" authorId="0" shapeId="0">
      <text>
        <r>
          <rPr>
            <sz val="9"/>
            <color indexed="81"/>
            <rFont val="Tahoma"/>
            <family val="2"/>
          </rPr>
          <t>Max of data per node / 0.8 
(20 % of free space required to avoid issue)</t>
        </r>
      </text>
    </comment>
  </commentList>
</comments>
</file>

<file path=xl/sharedStrings.xml><?xml version="1.0" encoding="utf-8"?>
<sst xmlns="http://schemas.openxmlformats.org/spreadsheetml/2006/main" count="177" uniqueCount="138">
  <si>
    <t>Disk used by emails, per hour</t>
  </si>
  <si>
    <t>Disk used by chats, per hour</t>
  </si>
  <si>
    <t>Disk used by other interactions, per hour</t>
  </si>
  <si>
    <t>Disk used by contact, per hour</t>
  </si>
  <si>
    <t>basic contact usage, per hour</t>
  </si>
  <si>
    <t>disk used by extension record for one contact, per hour</t>
  </si>
  <si>
    <t>Disk used by attachment</t>
  </si>
  <si>
    <t>Cassandra replication factor</t>
  </si>
  <si>
    <t>CPU</t>
  </si>
  <si>
    <t>RAM</t>
  </si>
  <si>
    <t>Hardware profile for Cassandra server node</t>
  </si>
  <si>
    <t>Java version</t>
  </si>
  <si>
    <t>Java version 1.8, 64-Bit Server VM</t>
  </si>
  <si>
    <t>Java options</t>
  </si>
  <si>
    <t>Initial heap size (Xms) equals Maximum heap size (Xmx)</t>
  </si>
  <si>
    <t>Java heap for UCS server</t>
  </si>
  <si>
    <t>Replication factor</t>
  </si>
  <si>
    <t>Hour</t>
  </si>
  <si>
    <t>Day</t>
  </si>
  <si>
    <t>Week</t>
  </si>
  <si>
    <t>Month</t>
  </si>
  <si>
    <t>minimum number of cassandra nodes</t>
  </si>
  <si>
    <t>RHEL 7 x64</t>
  </si>
  <si>
    <t>Recommended number of UCS nodes</t>
  </si>
  <si>
    <t>Recommended deployment options</t>
  </si>
  <si>
    <t>Disk used by call, per hour</t>
  </si>
  <si>
    <t>Number of request per email</t>
  </si>
  <si>
    <t>Number of request per chat</t>
  </si>
  <si>
    <t>Number of request per voice</t>
  </si>
  <si>
    <t>Number of request per other media</t>
  </si>
  <si>
    <t>Number of request per email with attachments</t>
  </si>
  <si>
    <t xml:space="preserve">Number of Request per second </t>
  </si>
  <si>
    <t xml:space="preserve">Number of Interaction per second </t>
  </si>
  <si>
    <t>Max Request Sec per UCS node</t>
  </si>
  <si>
    <t>Max Interaction Sec  per C* node</t>
  </si>
  <si>
    <t>Public IP/Elastic IP Data Transfer:</t>
  </si>
  <si>
    <t>Intra-Region Data Transfer:</t>
  </si>
  <si>
    <t>VPC Peering Data Transfer:</t>
  </si>
  <si>
    <t>Data Transfer In:</t>
  </si>
  <si>
    <t>Data Transfer Out:</t>
  </si>
  <si>
    <t>Inter-Region Data Transfer Out:</t>
  </si>
  <si>
    <t>Type</t>
  </si>
  <si>
    <t>Compaction Disk Usage Factor</t>
  </si>
  <si>
    <t>CassandraCompressionFactor</t>
  </si>
  <si>
    <t>ESCompressionFactor</t>
  </si>
  <si>
    <t>Average # contacts created per hour</t>
  </si>
  <si>
    <t>Average # chats per hour</t>
  </si>
  <si>
    <t>Average # voice calls per hour</t>
  </si>
  <si>
    <t>Average # other interactions per hour</t>
  </si>
  <si>
    <t xml:space="preserve">Genesys Universal Contact Server sizing calculator - advanced
</t>
  </si>
  <si>
    <t>Multicore (8+) CPU</t>
  </si>
  <si>
    <t>Multicore (16+) CPU</t>
  </si>
  <si>
    <t>Software configuration</t>
  </si>
  <si>
    <t>Equals 3 for 3, 4 and 5 nodes 
and (number of nodes/2 +1) for the higher number</t>
  </si>
  <si>
    <t>Data Transfer</t>
  </si>
  <si>
    <t>Data Transfer In</t>
  </si>
  <si>
    <t>½ of available RAM, no more than 8 Gb</t>
  </si>
  <si>
    <t>Number of request per contact creation</t>
  </si>
  <si>
    <t xml:space="preserve">        Distributed over all ElasticSearch nodes (see 'Server profiles' tab)</t>
  </si>
  <si>
    <t xml:space="preserve">        Distributed over all Cassandra nodes (see 'Server profiles' tab)</t>
  </si>
  <si>
    <t>Sizing calculator for migration from UCS 8.5</t>
  </si>
  <si>
    <t>Disk space consumption estimated</t>
  </si>
  <si>
    <t>Estimated migration time</t>
  </si>
  <si>
    <t>Average size of chat (in KiB)</t>
  </si>
  <si>
    <t>Average attachment size (in KiB)</t>
  </si>
  <si>
    <t>Year</t>
  </si>
  <si>
    <t>Disk size (in GiB)</t>
  </si>
  <si>
    <t>Total Cassandra database size, in GiB</t>
  </si>
  <si>
    <t>Total ElasticSearch dataset size, in GiB</t>
  </si>
  <si>
    <t>Disk space estimated required</t>
  </si>
  <si>
    <t>Size of a Contact (in KiB)</t>
  </si>
  <si>
    <t>Average Size of Contact Attribute (in KiB)</t>
  </si>
  <si>
    <t>Average Size of interactions (in KiB)</t>
  </si>
  <si>
    <t>Formatted disk space (in GiB)</t>
  </si>
  <si>
    <t>Usable disk space per node (in GiB)</t>
  </si>
  <si>
    <t>GiB/Hour</t>
  </si>
  <si>
    <t>GiB/Day</t>
  </si>
  <si>
    <t>GiB/Week</t>
  </si>
  <si>
    <t>GiB/Month</t>
  </si>
  <si>
    <t>GiB/Year</t>
  </si>
  <si>
    <t>Hardware profile for ElasticSearch server node</t>
  </si>
  <si>
    <t>Recommended number of ElasticSearch nodes</t>
  </si>
  <si>
    <t xml:space="preserve">ElasticSearch Data for 1 GiB of memory </t>
  </si>
  <si>
    <t>8 GiB</t>
  </si>
  <si>
    <t>16 GiB</t>
  </si>
  <si>
    <t>4 GiB</t>
  </si>
  <si>
    <t xml:space="preserve">Link </t>
  </si>
  <si>
    <t>Cassandra</t>
  </si>
  <si>
    <t>ElasticSearch</t>
  </si>
  <si>
    <t>Minimal RAM</t>
  </si>
  <si>
    <t>Recommanded RAM</t>
  </si>
  <si>
    <t xml:space="preserve">Recommended number of Cassandra nodes </t>
  </si>
  <si>
    <t>Interaction in KiB Migration Flow  (per sec)</t>
  </si>
  <si>
    <t>Attachment in KiB Migration Flow  (per sec)</t>
  </si>
  <si>
    <t>Contact in KiB Migration Flow (per sec)</t>
  </si>
  <si>
    <t>GDPSNodeFactor</t>
  </si>
  <si>
    <t>Recommended</t>
  </si>
  <si>
    <t>Business hours per day</t>
  </si>
  <si>
    <t>Hardware profile for GDPS server node</t>
  </si>
  <si>
    <t>Hardware profile for UCS server node</t>
  </si>
  <si>
    <t>Java heap for GDPS server</t>
  </si>
  <si>
    <t xml:space="preserve">Java heap for Cassandra </t>
  </si>
  <si>
    <t>OS version for Cassandra</t>
  </si>
  <si>
    <t>OS version for UCS / GDPS</t>
  </si>
  <si>
    <t>ElasticSearch replica factor</t>
  </si>
  <si>
    <t>Total # of interactions in database</t>
  </si>
  <si>
    <t>Total # of contacts in database</t>
  </si>
  <si>
    <t>Maximum data per Cassandra node (in GiB)</t>
  </si>
  <si>
    <t xml:space="preserve"># Contacts </t>
  </si>
  <si>
    <t># Average contact attributes</t>
  </si>
  <si>
    <t>Total size of attachments (GiB)</t>
  </si>
  <si>
    <t># Chats</t>
  </si>
  <si>
    <t xml:space="preserve"># Voice </t>
  </si>
  <si>
    <t># Other interactions</t>
  </si>
  <si>
    <t>Estimated time per number of GDPS nodes used (hours)</t>
  </si>
  <si>
    <t>OS version for external ElasticSearch</t>
  </si>
  <si>
    <t>Business days per week</t>
  </si>
  <si>
    <t>Average # emails per hour</t>
  </si>
  <si>
    <t>Average size of email (in KiB)</t>
  </si>
  <si>
    <t>Percentage of emails with attachment</t>
  </si>
  <si>
    <t># Emails</t>
  </si>
  <si>
    <t xml:space="preserve"> 8 GiB</t>
  </si>
  <si>
    <t>Interaction Life Time (days)</t>
  </si>
  <si>
    <t>Ixn Life Time</t>
  </si>
  <si>
    <t>Life Time</t>
  </si>
  <si>
    <t xml:space="preserve"> Life Time</t>
  </si>
  <si>
    <t>N/A</t>
  </si>
  <si>
    <t>Disk used per interaction in Cassandra, per hour</t>
  </si>
  <si>
    <t>Disk used per interaction in ElasticSearch, per hour</t>
  </si>
  <si>
    <t>Disk used per contact in Cassandra, per hour</t>
  </si>
  <si>
    <t>Disk used per contact in ElasticSearch, per hour</t>
  </si>
  <si>
    <t>Number of contact attributes per contact</t>
  </si>
  <si>
    <t>Number of ES nodes</t>
  </si>
  <si>
    <t>Number of Cassandra nodes</t>
  </si>
  <si>
    <t xml:space="preserve">RHEL 7 x64, 2012 x64 </t>
  </si>
  <si>
    <t>https://www.elastic.co/guide/en/elasticsearch/guide/master/deploy.html</t>
  </si>
  <si>
    <t>https://www.instaclustr.com/</t>
  </si>
  <si>
    <r>
      <t xml:space="preserve">Genesys Universal Contact Server sizing calculator 
</t>
    </r>
    <r>
      <rPr>
        <sz val="10"/>
        <color rgb="FF000000"/>
        <rFont val="Arial"/>
        <family val="2"/>
      </rPr>
      <t>Document Version : UCS Sizing Calculation 910 05-2018 v9.0.001.02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</si>
</sst>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;;;"/>
  </numFmts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6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color rgb="FFC00000"/>
      <name val="Arial"/>
      <family val="2"/>
      <charset val="204"/>
    </font>
    <font>
      <sz val="10"/>
      <color rgb="FF000000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  <charset val="204"/>
    </font>
    <font>
      <sz val="12"/>
      <color theme="1"/>
      <name val="Calibri"/>
      <family val="2"/>
      <scheme val="minor"/>
    </font>
    <font>
      <sz val="12"/>
      <color rgb="FF000000"/>
      <name val="Arial"/>
      <family val="2"/>
      <charset val="204"/>
    </font>
    <font>
      <u/>
      <sz val="11"/>
      <color theme="10"/>
      <name val="Calibri"/>
      <family val="2"/>
      <scheme val="minor"/>
    </font>
    <font>
      <sz val="9"/>
      <color indexed="81"/>
      <name val="Tahoma"/>
      <charset val="1"/>
    </font>
    <font>
      <b/>
      <sz val="12"/>
      <name val="Arial"/>
      <family val="2"/>
    </font>
    <font>
      <b/>
      <sz val="12"/>
      <color theme="1"/>
      <name val="Calibri"/>
      <family val="2"/>
      <scheme val="minor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6" fillId="0" borderId="0"/>
    <xf numFmtId="0" fontId="14" fillId="0" borderId="0" applyNumberFormat="0" applyFill="0" applyBorder="0" applyAlignment="0" applyProtection="0"/>
  </cellStyleXfs>
  <cellXfs count="109">
    <xf numFmtId="0" fontId="0" fillId="0" borderId="0" xfId="0"/>
    <xf numFmtId="0" fontId="1" fillId="0" borderId="1" xfId="1" applyBorder="1" applyAlignment="1" applyProtection="1">
      <alignment wrapText="1"/>
    </xf>
    <xf numFmtId="0" fontId="1" fillId="0" borderId="0" xfId="1" applyFont="1" applyBorder="1" applyAlignment="1" applyProtection="1">
      <alignment horizontal="left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/>
    </xf>
    <xf numFmtId="0" fontId="2" fillId="0" borderId="0" xfId="1" applyFont="1" applyBorder="1" applyAlignment="1" applyProtection="1">
      <alignment horizontal="left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/>
    <xf numFmtId="0" fontId="1" fillId="0" borderId="0" xfId="1" applyAlignment="1" applyProtection="1"/>
    <xf numFmtId="0" fontId="1" fillId="0" borderId="0" xfId="1" applyAlignment="1" applyProtection="1">
      <alignment wrapText="1"/>
    </xf>
    <xf numFmtId="0" fontId="0" fillId="0" borderId="0" xfId="0" applyAlignment="1" applyProtection="1">
      <alignment wrapText="1"/>
    </xf>
    <xf numFmtId="0" fontId="2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3" fillId="0" borderId="0" xfId="0" applyFont="1" applyBorder="1" applyAlignment="1" applyProtection="1">
      <alignment horizontal="left" wrapText="1"/>
    </xf>
    <xf numFmtId="0" fontId="1" fillId="0" borderId="0" xfId="1" applyFont="1" applyBorder="1" applyAlignment="1" applyProtection="1">
      <alignment horizontal="left"/>
    </xf>
    <xf numFmtId="0" fontId="0" fillId="0" borderId="0" xfId="0" applyProtection="1"/>
    <xf numFmtId="0" fontId="6" fillId="0" borderId="0" xfId="2" applyAlignment="1">
      <alignment wrapText="1"/>
    </xf>
    <xf numFmtId="0" fontId="6" fillId="0" borderId="0" xfId="2" applyAlignment="1"/>
    <xf numFmtId="0" fontId="3" fillId="0" borderId="0" xfId="1" applyFont="1" applyBorder="1" applyAlignment="1" applyProtection="1">
      <alignment horizontal="left"/>
    </xf>
    <xf numFmtId="0" fontId="0" fillId="0" borderId="0" xfId="0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0" fillId="0" borderId="0" xfId="0" applyAlignment="1" applyProtection="1">
      <alignment wrapText="1"/>
      <protection hidden="1"/>
    </xf>
    <xf numFmtId="0" fontId="0" fillId="0" borderId="0" xfId="0" applyProtection="1">
      <protection hidden="1"/>
    </xf>
    <xf numFmtId="0" fontId="5" fillId="0" borderId="0" xfId="0" applyFont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4" fillId="0" borderId="0" xfId="0" applyFont="1" applyAlignment="1" applyProtection="1">
      <protection hidden="1"/>
    </xf>
    <xf numFmtId="0" fontId="3" fillId="0" borderId="0" xfId="0" applyFont="1" applyBorder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right"/>
      <protection hidden="1"/>
    </xf>
    <xf numFmtId="0" fontId="9" fillId="0" borderId="0" xfId="0" applyFont="1" applyAlignment="1" applyProtection="1">
      <alignment horizontal="left"/>
      <protection hidden="1"/>
    </xf>
    <xf numFmtId="0" fontId="7" fillId="0" borderId="0" xfId="0" applyFont="1"/>
    <xf numFmtId="0" fontId="11" fillId="0" borderId="0" xfId="0" applyFont="1" applyAlignment="1" applyProtection="1">
      <alignment horizontal="left"/>
      <protection hidden="1"/>
    </xf>
    <xf numFmtId="0" fontId="12" fillId="0" borderId="0" xfId="0" applyFont="1" applyAlignment="1" applyProtection="1">
      <alignment horizontal="left"/>
      <protection hidden="1"/>
    </xf>
    <xf numFmtId="0" fontId="13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Alignment="1" applyProtection="1">
      <protection hidden="1"/>
    </xf>
    <xf numFmtId="0" fontId="7" fillId="0" borderId="0" xfId="0" applyFont="1" applyProtection="1">
      <protection hidden="1"/>
    </xf>
    <xf numFmtId="0" fontId="8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0" fillId="0" borderId="0" xfId="0" applyFont="1"/>
    <xf numFmtId="0" fontId="13" fillId="0" borderId="0" xfId="1" applyFont="1" applyBorder="1" applyAlignment="1" applyProtection="1">
      <alignment horizontal="left"/>
    </xf>
    <xf numFmtId="0" fontId="13" fillId="0" borderId="0" xfId="0" applyFont="1" applyAlignment="1" applyProtection="1"/>
    <xf numFmtId="0" fontId="12" fillId="0" borderId="0" xfId="0" applyFont="1" applyAlignment="1" applyProtection="1"/>
    <xf numFmtId="0" fontId="13" fillId="0" borderId="0" xfId="1" applyFont="1" applyAlignment="1" applyProtection="1"/>
    <xf numFmtId="0" fontId="13" fillId="0" borderId="0" xfId="1" applyFont="1" applyAlignment="1" applyProtection="1">
      <alignment wrapText="1"/>
    </xf>
    <xf numFmtId="0" fontId="11" fillId="0" borderId="0" xfId="1" applyFont="1" applyAlignment="1" applyProtection="1"/>
    <xf numFmtId="0" fontId="13" fillId="0" borderId="0" xfId="1" applyFont="1" applyAlignment="1" applyProtection="1">
      <alignment horizontal="left" vertical="center" wrapText="1"/>
    </xf>
    <xf numFmtId="2" fontId="13" fillId="0" borderId="3" xfId="2" applyNumberFormat="1" applyFont="1" applyBorder="1" applyAlignment="1" applyProtection="1">
      <alignment horizontal="left"/>
      <protection hidden="1"/>
    </xf>
    <xf numFmtId="0" fontId="7" fillId="0" borderId="0" xfId="0" applyFont="1" applyProtection="1">
      <protection locked="0"/>
    </xf>
    <xf numFmtId="1" fontId="10" fillId="2" borderId="0" xfId="0" applyNumberFormat="1" applyFont="1" applyFill="1" applyProtection="1">
      <protection locked="0"/>
    </xf>
    <xf numFmtId="0" fontId="3" fillId="0" borderId="0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 wrapText="1"/>
      <protection hidden="1"/>
    </xf>
    <xf numFmtId="164" fontId="9" fillId="0" borderId="0" xfId="0" applyNumberFormat="1" applyFont="1" applyBorder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wrapText="1"/>
      <protection hidden="1"/>
    </xf>
    <xf numFmtId="164" fontId="9" fillId="0" borderId="0" xfId="0" applyNumberFormat="1" applyFont="1" applyBorder="1" applyAlignment="1" applyProtection="1">
      <alignment wrapText="1"/>
      <protection hidden="1"/>
    </xf>
    <xf numFmtId="0" fontId="13" fillId="0" borderId="0" xfId="1" applyFont="1" applyBorder="1" applyAlignment="1" applyProtection="1">
      <alignment horizontal="left"/>
    </xf>
    <xf numFmtId="164" fontId="9" fillId="0" borderId="9" xfId="0" applyNumberFormat="1" applyFont="1" applyBorder="1" applyAlignment="1" applyProtection="1">
      <alignment wrapText="1"/>
      <protection hidden="1"/>
    </xf>
    <xf numFmtId="3" fontId="10" fillId="2" borderId="0" xfId="0" applyNumberFormat="1" applyFont="1" applyFill="1" applyProtection="1">
      <protection locked="0"/>
    </xf>
    <xf numFmtId="0" fontId="14" fillId="0" borderId="0" xfId="3" applyAlignment="1" applyProtection="1"/>
    <xf numFmtId="0" fontId="14" fillId="0" borderId="0" xfId="3"/>
    <xf numFmtId="4" fontId="10" fillId="2" borderId="0" xfId="0" applyNumberFormat="1" applyFont="1" applyFill="1" applyProtection="1">
      <protection locked="0"/>
    </xf>
    <xf numFmtId="4" fontId="7" fillId="3" borderId="3" xfId="0" applyNumberFormat="1" applyFont="1" applyFill="1" applyBorder="1" applyAlignment="1" applyProtection="1">
      <alignment horizontal="center"/>
      <protection hidden="1"/>
    </xf>
    <xf numFmtId="3" fontId="7" fillId="0" borderId="0" xfId="0" applyNumberFormat="1" applyFont="1" applyProtection="1">
      <protection locked="0"/>
    </xf>
    <xf numFmtId="3" fontId="0" fillId="0" borderId="0" xfId="0" applyNumberFormat="1"/>
    <xf numFmtId="0" fontId="13" fillId="0" borderId="0" xfId="1" applyNumberFormat="1" applyFont="1" applyBorder="1" applyAlignment="1" applyProtection="1">
      <alignment horizontal="left" wrapText="1"/>
    </xf>
    <xf numFmtId="0" fontId="10" fillId="3" borderId="0" xfId="0" applyFont="1" applyFill="1" applyAlignment="1" applyProtection="1">
      <alignment horizontal="right"/>
      <protection hidden="1"/>
    </xf>
    <xf numFmtId="0" fontId="16" fillId="3" borderId="0" xfId="0" applyFont="1" applyFill="1" applyAlignment="1" applyProtection="1">
      <protection hidden="1"/>
    </xf>
    <xf numFmtId="4" fontId="10" fillId="3" borderId="3" xfId="0" applyNumberFormat="1" applyFont="1" applyFill="1" applyBorder="1" applyAlignment="1" applyProtection="1">
      <alignment horizontal="center"/>
      <protection hidden="1"/>
    </xf>
    <xf numFmtId="3" fontId="10" fillId="3" borderId="3" xfId="0" applyNumberFormat="1" applyFont="1" applyFill="1" applyBorder="1" applyAlignment="1" applyProtection="1">
      <alignment horizontal="center"/>
      <protection hidden="1"/>
    </xf>
    <xf numFmtId="0" fontId="10" fillId="2" borderId="0" xfId="0" applyFont="1" applyFill="1" applyProtection="1">
      <protection locked="0"/>
    </xf>
    <xf numFmtId="0" fontId="7" fillId="3" borderId="3" xfId="0" applyNumberFormat="1" applyFont="1" applyFill="1" applyBorder="1" applyAlignment="1" applyProtection="1">
      <alignment horizontal="center"/>
      <protection hidden="1"/>
    </xf>
    <xf numFmtId="4" fontId="13" fillId="3" borderId="3" xfId="2" applyNumberFormat="1" applyFont="1" applyFill="1" applyBorder="1" applyAlignment="1" applyProtection="1">
      <alignment horizontal="center"/>
      <protection hidden="1"/>
    </xf>
    <xf numFmtId="0" fontId="9" fillId="0" borderId="3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wrapText="1"/>
      <protection hidden="1"/>
    </xf>
    <xf numFmtId="0" fontId="3" fillId="0" borderId="1" xfId="0" applyFont="1" applyBorder="1" applyAlignment="1" applyProtection="1">
      <alignment horizontal="left" wrapText="1"/>
      <protection hidden="1"/>
    </xf>
    <xf numFmtId="0" fontId="3" fillId="0" borderId="0" xfId="0" applyFont="1" applyBorder="1" applyAlignment="1" applyProtection="1">
      <alignment horizontal="left" wrapText="1"/>
    </xf>
    <xf numFmtId="0" fontId="3" fillId="0" borderId="1" xfId="0" applyFont="1" applyBorder="1" applyAlignment="1" applyProtection="1">
      <alignment horizontal="left" wrapText="1"/>
    </xf>
    <xf numFmtId="0" fontId="3" fillId="0" borderId="6" xfId="0" applyFont="1" applyBorder="1" applyAlignment="1" applyProtection="1">
      <alignment horizontal="left" wrapText="1"/>
    </xf>
    <xf numFmtId="0" fontId="3" fillId="0" borderId="0" xfId="0" applyFont="1" applyBorder="1" applyAlignment="1" applyProtection="1">
      <alignment horizontal="left"/>
    </xf>
    <xf numFmtId="0" fontId="3" fillId="0" borderId="6" xfId="0" applyFont="1" applyBorder="1" applyAlignment="1" applyProtection="1">
      <alignment horizontal="left"/>
    </xf>
    <xf numFmtId="0" fontId="3" fillId="0" borderId="1" xfId="1" applyFont="1" applyBorder="1" applyAlignment="1" applyProtection="1">
      <alignment horizontal="left"/>
    </xf>
    <xf numFmtId="0" fontId="13" fillId="0" borderId="4" xfId="1" applyFont="1" applyBorder="1" applyAlignment="1" applyProtection="1">
      <alignment horizontal="left" vertical="center" wrapText="1"/>
    </xf>
    <xf numFmtId="0" fontId="13" fillId="0" borderId="5" xfId="1" applyFont="1" applyBorder="1" applyAlignment="1" applyProtection="1">
      <alignment horizontal="left" vertical="center" wrapText="1"/>
    </xf>
    <xf numFmtId="0" fontId="13" fillId="0" borderId="0" xfId="1" applyFont="1" applyBorder="1" applyAlignment="1" applyProtection="1">
      <alignment horizontal="left"/>
    </xf>
    <xf numFmtId="3" fontId="17" fillId="3" borderId="4" xfId="0" applyNumberFormat="1" applyFont="1" applyFill="1" applyBorder="1" applyAlignment="1" applyProtection="1">
      <alignment horizontal="center"/>
      <protection hidden="1"/>
    </xf>
    <xf numFmtId="3" fontId="17" fillId="3" borderId="5" xfId="0" applyNumberFormat="1" applyFont="1" applyFill="1" applyBorder="1" applyAlignment="1" applyProtection="1">
      <alignment horizontal="center"/>
      <protection hidden="1"/>
    </xf>
    <xf numFmtId="0" fontId="13" fillId="0" borderId="0" xfId="1" applyFont="1" applyAlignment="1" applyProtection="1">
      <alignment horizontal="left"/>
    </xf>
    <xf numFmtId="0" fontId="13" fillId="0" borderId="0" xfId="1" applyNumberFormat="1" applyFont="1" applyBorder="1" applyAlignment="1" applyProtection="1">
      <alignment horizontal="left" wrapText="1"/>
    </xf>
    <xf numFmtId="0" fontId="13" fillId="0" borderId="3" xfId="1" applyNumberFormat="1" applyFont="1" applyBorder="1" applyAlignment="1" applyProtection="1">
      <alignment horizontal="center" wrapText="1"/>
    </xf>
    <xf numFmtId="0" fontId="13" fillId="0" borderId="4" xfId="0" applyFont="1" applyBorder="1" applyAlignment="1" applyProtection="1">
      <alignment horizontal="center"/>
    </xf>
    <xf numFmtId="0" fontId="13" fillId="0" borderId="5" xfId="0" applyFont="1" applyBorder="1" applyAlignment="1" applyProtection="1">
      <alignment horizontal="center"/>
    </xf>
    <xf numFmtId="0" fontId="12" fillId="0" borderId="4" xfId="0" applyFont="1" applyBorder="1" applyAlignment="1" applyProtection="1">
      <alignment horizontal="center"/>
    </xf>
    <xf numFmtId="0" fontId="12" fillId="0" borderId="5" xfId="0" applyFont="1" applyBorder="1" applyAlignment="1" applyProtection="1">
      <alignment horizontal="center"/>
    </xf>
    <xf numFmtId="0" fontId="13" fillId="0" borderId="4" xfId="1" applyNumberFormat="1" applyFont="1" applyBorder="1" applyAlignment="1" applyProtection="1">
      <alignment horizontal="center" wrapText="1"/>
    </xf>
    <xf numFmtId="0" fontId="13" fillId="0" borderId="5" xfId="1" applyNumberFormat="1" applyFont="1" applyBorder="1" applyAlignment="1" applyProtection="1">
      <alignment horizontal="center" wrapText="1"/>
    </xf>
    <xf numFmtId="0" fontId="7" fillId="0" borderId="4" xfId="0" applyFont="1" applyBorder="1" applyAlignment="1" applyProtection="1">
      <alignment horizontal="center"/>
    </xf>
    <xf numFmtId="0" fontId="7" fillId="0" borderId="5" xfId="0" applyFont="1" applyBorder="1" applyAlignment="1" applyProtection="1">
      <alignment horizontal="center"/>
    </xf>
    <xf numFmtId="0" fontId="12" fillId="0" borderId="3" xfId="0" applyFont="1" applyBorder="1" applyAlignment="1" applyProtection="1">
      <alignment horizontal="center"/>
    </xf>
    <xf numFmtId="0" fontId="2" fillId="0" borderId="2" xfId="1" applyFont="1" applyBorder="1" applyAlignment="1" applyProtection="1">
      <alignment horizontal="left"/>
    </xf>
    <xf numFmtId="0" fontId="1" fillId="0" borderId="2" xfId="1" applyBorder="1" applyAlignment="1" applyProtection="1">
      <alignment horizontal="center"/>
    </xf>
    <xf numFmtId="0" fontId="13" fillId="0" borderId="3" xfId="0" applyFont="1" applyBorder="1" applyAlignment="1" applyProtection="1">
      <alignment horizontal="center" vertical="center"/>
    </xf>
    <xf numFmtId="0" fontId="2" fillId="0" borderId="1" xfId="1" applyFont="1" applyBorder="1" applyAlignment="1" applyProtection="1">
      <alignment horizontal="center" wrapText="1"/>
    </xf>
    <xf numFmtId="0" fontId="13" fillId="0" borderId="4" xfId="0" applyFont="1" applyBorder="1" applyAlignment="1" applyProtection="1">
      <alignment horizontal="center" vertical="center"/>
    </xf>
    <xf numFmtId="0" fontId="13" fillId="0" borderId="5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3" fillId="0" borderId="0" xfId="2" applyFont="1" applyBorder="1" applyAlignment="1" applyProtection="1">
      <alignment horizontal="left"/>
    </xf>
    <xf numFmtId="0" fontId="3" fillId="0" borderId="6" xfId="2" applyFont="1" applyBorder="1" applyAlignment="1" applyProtection="1">
      <alignment horizontal="left"/>
    </xf>
    <xf numFmtId="0" fontId="11" fillId="0" borderId="8" xfId="2" applyFont="1" applyBorder="1" applyAlignment="1" applyProtection="1">
      <alignment horizontal="center"/>
      <protection hidden="1"/>
    </xf>
    <xf numFmtId="0" fontId="11" fillId="0" borderId="7" xfId="2" applyFont="1" applyBorder="1" applyAlignment="1" applyProtection="1">
      <alignment horizontal="center"/>
      <protection hidden="1"/>
    </xf>
  </cellXfs>
  <cellStyles count="4">
    <cellStyle name="Hyperlink" xfId="3" builtinId="8"/>
    <cellStyle name="Normal" xfId="0" builtinId="0"/>
    <cellStyle name="Normal 2" xfId="2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www.elastic.co/guide/en/elasticsearch/guide/master/deploy.html" TargetMode="External"/><Relationship Id="rId1" Type="http://schemas.openxmlformats.org/officeDocument/2006/relationships/hyperlink" Target="https://www.instaclustr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51"/>
  <sheetViews>
    <sheetView tabSelected="1" zoomScale="70" zoomScaleNormal="70" workbookViewId="0">
      <selection sqref="A1:H3"/>
    </sheetView>
  </sheetViews>
  <sheetFormatPr defaultRowHeight="15" x14ac:dyDescent="0.25"/>
  <cols>
    <col min="1" max="1" width="68.42578125" customWidth="1"/>
    <col min="2" max="2" width="11.5703125" bestFit="1" customWidth="1"/>
    <col min="3" max="3" width="20" customWidth="1"/>
    <col min="4" max="4" width="13.85546875" customWidth="1"/>
    <col min="5" max="5" width="15" customWidth="1"/>
    <col min="6" max="6" width="12.85546875" customWidth="1"/>
    <col min="7" max="7" width="16.42578125" customWidth="1"/>
    <col min="8" max="8" width="21.85546875" customWidth="1"/>
  </cols>
  <sheetData>
    <row r="1" spans="1:9" ht="14.45" customHeight="1" x14ac:dyDescent="0.25">
      <c r="A1" s="74" t="s">
        <v>137</v>
      </c>
      <c r="B1" s="74"/>
      <c r="C1" s="74"/>
      <c r="D1" s="74"/>
      <c r="E1" s="74"/>
      <c r="F1" s="74"/>
      <c r="G1" s="74"/>
      <c r="H1" s="74"/>
    </row>
    <row r="2" spans="1:9" ht="14.45" customHeight="1" x14ac:dyDescent="0.25">
      <c r="A2" s="74"/>
      <c r="B2" s="74"/>
      <c r="C2" s="74"/>
      <c r="D2" s="74"/>
      <c r="E2" s="74"/>
      <c r="F2" s="74"/>
      <c r="G2" s="74"/>
      <c r="H2" s="74"/>
    </row>
    <row r="3" spans="1:9" ht="15" customHeight="1" thickBot="1" x14ac:dyDescent="0.3">
      <c r="A3" s="76"/>
      <c r="B3" s="76"/>
      <c r="C3" s="76"/>
      <c r="D3" s="76"/>
      <c r="E3" s="76"/>
      <c r="F3" s="76"/>
      <c r="G3" s="76"/>
      <c r="H3" s="76"/>
    </row>
    <row r="5" spans="1:9" ht="15.75" x14ac:dyDescent="0.25">
      <c r="A5" s="29" t="s">
        <v>45</v>
      </c>
      <c r="B5" s="29"/>
      <c r="C5" s="56">
        <v>500</v>
      </c>
    </row>
    <row r="6" spans="1:9" ht="15.75" x14ac:dyDescent="0.25">
      <c r="A6" s="29" t="s">
        <v>117</v>
      </c>
      <c r="B6" s="29"/>
      <c r="C6" s="56">
        <v>3600</v>
      </c>
    </row>
    <row r="7" spans="1:9" ht="15.75" x14ac:dyDescent="0.25">
      <c r="A7" s="29" t="s">
        <v>46</v>
      </c>
      <c r="B7" s="29"/>
      <c r="C7" s="56">
        <v>3600</v>
      </c>
    </row>
    <row r="8" spans="1:9" ht="15.75" x14ac:dyDescent="0.25">
      <c r="A8" s="29" t="s">
        <v>47</v>
      </c>
      <c r="B8" s="29"/>
      <c r="C8" s="56">
        <v>3600</v>
      </c>
    </row>
    <row r="9" spans="1:9" ht="15.75" x14ac:dyDescent="0.25">
      <c r="A9" s="29" t="s">
        <v>48</v>
      </c>
      <c r="B9" s="29"/>
      <c r="C9" s="56">
        <v>100</v>
      </c>
    </row>
    <row r="10" spans="1:9" ht="15.75" x14ac:dyDescent="0.25">
      <c r="A10" s="29"/>
      <c r="B10" s="29"/>
      <c r="C10" s="47"/>
    </row>
    <row r="11" spans="1:9" ht="15.75" x14ac:dyDescent="0.25">
      <c r="A11" s="29" t="s">
        <v>7</v>
      </c>
      <c r="B11" s="29"/>
      <c r="C11" s="48">
        <v>3</v>
      </c>
    </row>
    <row r="12" spans="1:9" ht="15.75" x14ac:dyDescent="0.25">
      <c r="A12" s="29" t="s">
        <v>122</v>
      </c>
      <c r="B12" s="29"/>
      <c r="C12" s="56">
        <v>90</v>
      </c>
    </row>
    <row r="13" spans="1:9" ht="14.45" customHeight="1" x14ac:dyDescent="0.25">
      <c r="A13" s="74" t="s">
        <v>24</v>
      </c>
      <c r="B13" s="74"/>
      <c r="C13" s="74"/>
      <c r="D13" s="74"/>
      <c r="E13" s="74"/>
      <c r="F13" s="74"/>
      <c r="G13" s="74"/>
      <c r="H13" s="74"/>
    </row>
    <row r="14" spans="1:9" s="10" customFormat="1" ht="15.75" customHeight="1" x14ac:dyDescent="0.25">
      <c r="A14" s="74"/>
      <c r="B14" s="74"/>
      <c r="C14" s="74"/>
      <c r="D14" s="74"/>
      <c r="E14" s="74"/>
      <c r="F14" s="74"/>
      <c r="G14" s="74"/>
      <c r="H14" s="74"/>
      <c r="I14" s="15"/>
    </row>
    <row r="15" spans="1:9" s="10" customFormat="1" ht="15.75" customHeight="1" x14ac:dyDescent="0.25">
      <c r="A15" s="75"/>
      <c r="B15" s="75"/>
      <c r="C15" s="75"/>
      <c r="D15" s="75"/>
      <c r="E15" s="75"/>
      <c r="F15" s="75"/>
      <c r="G15" s="75"/>
      <c r="H15" s="75"/>
      <c r="I15" s="15"/>
    </row>
    <row r="16" spans="1:9" s="10" customFormat="1" ht="15.75" customHeight="1" x14ac:dyDescent="0.3">
      <c r="A16" s="13"/>
      <c r="B16" s="13"/>
      <c r="C16" s="13"/>
      <c r="D16" s="13"/>
      <c r="E16" s="13"/>
      <c r="F16" s="13"/>
      <c r="G16" s="13"/>
      <c r="H16" s="13"/>
      <c r="I16" s="15"/>
    </row>
    <row r="17" spans="1:9" s="10" customFormat="1" ht="15.75" customHeight="1" x14ac:dyDescent="0.25">
      <c r="A17" s="30" t="s">
        <v>23</v>
      </c>
      <c r="B17" s="31"/>
      <c r="C17" s="64">
        <f>MAX(2,ROUNDUP(NbRequestPerSecond/MaxRequestPerUCS,0))</f>
        <v>2</v>
      </c>
      <c r="D17" s="20"/>
      <c r="E17" s="21"/>
      <c r="F17" s="22"/>
      <c r="G17" s="23" t="str">
        <f>IF(F17&gt;10000000, "There is no guarantee that proposed cluster will be able to completely serve specified load","")</f>
        <v/>
      </c>
      <c r="I17" s="15"/>
    </row>
    <row r="18" spans="1:9" s="10" customFormat="1" ht="15.75" customHeight="1" x14ac:dyDescent="0.25">
      <c r="A18" s="30"/>
      <c r="B18" s="31"/>
      <c r="C18" s="27"/>
      <c r="D18" s="20"/>
      <c r="E18" s="21"/>
      <c r="F18" s="22"/>
      <c r="G18" s="23"/>
      <c r="I18" s="15"/>
    </row>
    <row r="19" spans="1:9" s="10" customFormat="1" ht="15.75" customHeight="1" x14ac:dyDescent="0.25">
      <c r="A19" s="30" t="s">
        <v>81</v>
      </c>
      <c r="B19" s="31"/>
      <c r="C19" s="64">
        <f>MAX(MinCassandraNodes, NbCassandraNode,NbEsNode)</f>
        <v>3</v>
      </c>
      <c r="D19" s="20"/>
      <c r="E19" s="21"/>
      <c r="F19" s="22"/>
      <c r="G19" s="23" t="str">
        <f>IF(F19&gt;10000000, "There is no guarantee that proposed cluster will be able to completely serve specified load","")</f>
        <v/>
      </c>
      <c r="I19" s="15"/>
    </row>
    <row r="20" spans="1:9" s="10" customFormat="1" ht="15.75" customHeight="1" x14ac:dyDescent="0.25">
      <c r="A20" s="30"/>
      <c r="B20" s="31"/>
      <c r="C20" s="27"/>
      <c r="D20" s="20"/>
      <c r="E20" s="21"/>
      <c r="F20" s="22"/>
      <c r="G20" s="23"/>
      <c r="I20" s="15"/>
    </row>
    <row r="21" spans="1:9" s="10" customFormat="1" ht="16.149999999999999" customHeight="1" x14ac:dyDescent="0.25">
      <c r="A21" s="30" t="s">
        <v>91</v>
      </c>
      <c r="B21" s="32"/>
      <c r="C21" s="65">
        <f>MAX(MinCassandraNodes, NbCassandraNode,NbEsNode)</f>
        <v>3</v>
      </c>
      <c r="D21" s="24"/>
      <c r="E21" s="21"/>
      <c r="F21" s="19"/>
      <c r="G21" s="23"/>
      <c r="I21" s="15"/>
    </row>
    <row r="22" spans="1:9" s="10" customFormat="1" ht="15.75" customHeight="1" x14ac:dyDescent="0.25">
      <c r="A22" s="22"/>
      <c r="B22" s="22"/>
      <c r="C22" s="22"/>
      <c r="D22" s="22"/>
      <c r="E22" s="21"/>
      <c r="F22" s="21"/>
      <c r="G22" s="23"/>
      <c r="I22" s="15"/>
    </row>
    <row r="23" spans="1:9" s="10" customFormat="1" ht="16.149999999999999" customHeight="1" x14ac:dyDescent="0.25">
      <c r="A23" s="72" t="s">
        <v>61</v>
      </c>
      <c r="B23" s="72"/>
      <c r="C23" s="72"/>
      <c r="D23" s="72"/>
      <c r="E23" s="72"/>
      <c r="F23" s="72"/>
      <c r="G23" s="72"/>
      <c r="H23" s="72"/>
    </row>
    <row r="24" spans="1:9" ht="14.45" customHeight="1" x14ac:dyDescent="0.25">
      <c r="A24" s="72"/>
      <c r="B24" s="72"/>
      <c r="C24" s="72"/>
      <c r="D24" s="72"/>
      <c r="E24" s="72"/>
      <c r="F24" s="72"/>
      <c r="G24" s="72"/>
      <c r="H24" s="72"/>
    </row>
    <row r="25" spans="1:9" ht="20.45" customHeight="1" x14ac:dyDescent="0.25">
      <c r="A25" s="73"/>
      <c r="B25" s="73"/>
      <c r="C25" s="73"/>
      <c r="D25" s="73"/>
      <c r="E25" s="73"/>
      <c r="F25" s="73"/>
      <c r="G25" s="73"/>
      <c r="H25" s="73"/>
    </row>
    <row r="26" spans="1:9" ht="20.25" x14ac:dyDescent="0.3">
      <c r="A26" s="26"/>
      <c r="B26" s="26"/>
      <c r="C26" s="26"/>
      <c r="D26" s="26"/>
      <c r="E26" s="26"/>
      <c r="F26" s="26"/>
      <c r="G26" s="26"/>
    </row>
    <row r="27" spans="1:9" ht="15.75" x14ac:dyDescent="0.25">
      <c r="A27" s="28" t="s">
        <v>67</v>
      </c>
      <c r="B27" s="33"/>
      <c r="C27" s="34"/>
      <c r="D27" s="34"/>
      <c r="E27" s="34"/>
      <c r="F27" s="34"/>
      <c r="G27" s="34"/>
    </row>
    <row r="28" spans="1:9" ht="15.75" x14ac:dyDescent="0.25">
      <c r="A28" s="27" t="s">
        <v>59</v>
      </c>
      <c r="B28" s="52" t="s">
        <v>16</v>
      </c>
      <c r="C28" s="71" t="s">
        <v>17</v>
      </c>
      <c r="D28" s="71" t="s">
        <v>18</v>
      </c>
      <c r="E28" s="71" t="s">
        <v>19</v>
      </c>
      <c r="F28" s="71" t="s">
        <v>20</v>
      </c>
      <c r="G28" s="71" t="s">
        <v>65</v>
      </c>
      <c r="H28" s="71" t="s">
        <v>123</v>
      </c>
    </row>
    <row r="29" spans="1:9" ht="15.75" x14ac:dyDescent="0.25">
      <c r="A29" s="33"/>
      <c r="B29" s="35"/>
      <c r="C29" s="71"/>
      <c r="D29" s="71"/>
      <c r="E29" s="71"/>
      <c r="F29" s="71"/>
      <c r="G29" s="71"/>
      <c r="H29" s="71"/>
    </row>
    <row r="30" spans="1:9" ht="15.75" x14ac:dyDescent="0.25">
      <c r="A30" s="33"/>
      <c r="B30" s="35"/>
      <c r="C30" s="66">
        <f>DiskIxnPerHour + DiskContactPerHour</f>
        <v>0.31239509582519531</v>
      </c>
      <c r="D30" s="66">
        <f>C30*OpeningHour</f>
        <v>7.4974822998046875</v>
      </c>
      <c r="E30" s="66">
        <f>DiskIxnPerHour*OpeningHour*MIN(OpeningDayWeek,TTL) + DiskContactPerHour*OpeningHour*TTL</f>
        <v>53.052291870117188</v>
      </c>
      <c r="F30" s="66">
        <f>DiskIxnPerHour*OpeningHour*MIN(OpeningDayWeek*52/12,TTL) + DiskContactPerHour*OpeningHour*OpeningDayWeek*52/12</f>
        <v>227.42362976074219</v>
      </c>
      <c r="G30" s="66">
        <f>DiskIxnPerHour*OpeningHour*MIN(OpeningDayWeek*52,TTL) + DiskContactPerHour*OpeningHour*OpeningDayWeek*52</f>
        <v>676.65481567382813</v>
      </c>
      <c r="H30" s="66">
        <f>DiskIxnPerHour*OpeningHour*(TTL - (7 - OpeningDayWeek)* INT(TTL/7)) + DiskContactPerHour*OpeningHour*(TTL - (7 - OpeningDayWeek)*INT(TTL/7))</f>
        <v>674.77340698242188</v>
      </c>
    </row>
    <row r="31" spans="1:9" ht="15.75" x14ac:dyDescent="0.25">
      <c r="A31" s="35"/>
      <c r="B31" s="35"/>
      <c r="C31" s="35"/>
      <c r="D31" s="35"/>
      <c r="E31" s="35"/>
      <c r="F31" s="35"/>
      <c r="G31" s="35"/>
    </row>
    <row r="32" spans="1:9" ht="15.75" x14ac:dyDescent="0.25">
      <c r="A32" s="35"/>
      <c r="B32" s="35"/>
      <c r="C32" s="35"/>
      <c r="D32" s="35"/>
      <c r="E32" s="35"/>
      <c r="F32" s="35"/>
      <c r="G32" s="35"/>
    </row>
    <row r="33" spans="1:8" ht="15.75" x14ac:dyDescent="0.25">
      <c r="A33" s="28"/>
      <c r="B33" s="36"/>
      <c r="C33" s="36"/>
      <c r="D33" s="36"/>
      <c r="E33" s="33"/>
      <c r="F33" s="34"/>
      <c r="G33" s="35"/>
    </row>
    <row r="34" spans="1:8" ht="15.75" x14ac:dyDescent="0.25">
      <c r="A34" s="28" t="s">
        <v>68</v>
      </c>
      <c r="B34" s="33"/>
      <c r="C34" s="34"/>
      <c r="D34" s="34"/>
      <c r="E34" s="34"/>
      <c r="F34" s="34"/>
      <c r="G34" s="34"/>
    </row>
    <row r="35" spans="1:8" ht="15.75" x14ac:dyDescent="0.25">
      <c r="A35" s="27" t="s">
        <v>58</v>
      </c>
      <c r="B35" s="52" t="s">
        <v>16</v>
      </c>
      <c r="C35" s="71" t="s">
        <v>17</v>
      </c>
      <c r="D35" s="71" t="s">
        <v>18</v>
      </c>
      <c r="E35" s="71" t="s">
        <v>19</v>
      </c>
      <c r="F35" s="71" t="s">
        <v>20</v>
      </c>
      <c r="G35" s="71" t="s">
        <v>65</v>
      </c>
      <c r="H35" s="71" t="s">
        <v>123</v>
      </c>
    </row>
    <row r="36" spans="1:8" ht="15.75" x14ac:dyDescent="0.25">
      <c r="A36" s="33"/>
      <c r="B36" s="52"/>
      <c r="C36" s="71"/>
      <c r="D36" s="71"/>
      <c r="E36" s="71"/>
      <c r="F36" s="71"/>
      <c r="G36" s="71"/>
      <c r="H36" s="71"/>
    </row>
    <row r="37" spans="1:8" ht="15.75" x14ac:dyDescent="0.25">
      <c r="A37" s="33"/>
      <c r="B37" s="36"/>
      <c r="C37" s="66">
        <f>DiskIxnEsPerHour + DiskContactPerHourEs</f>
        <v>0.14760017395019531</v>
      </c>
      <c r="D37" s="66">
        <f>C37*OpeningHour</f>
        <v>3.5424041748046875</v>
      </c>
      <c r="E37" s="66">
        <f>DiskIxnEsPerHour*OpeningHour*MIN(OpeningDayWeek,TTL) + DiskContactPerHourEs*OpeningHour*TTL</f>
        <v>25.366744995117188</v>
      </c>
      <c r="F37" s="66">
        <f>DiskIxnEsPerHour*OpeningHour*MIN(OpeningDayWeek*52/12,TTL) + DiskContactPerHourEs*OpeningHour*OpeningDayWeek*52/12</f>
        <v>107.45292663574219</v>
      </c>
      <c r="G37" s="66">
        <f>DiskIxnEsPerHour*OpeningHour*MIN(OpeningDayWeek*52,TTL) + DiskContactPerHourEs*OpeningHour*OpeningDayWeek*52</f>
        <v>320.69778442382813</v>
      </c>
      <c r="H37" s="66">
        <f>DiskIxnEsPerHour*OpeningHour*(TTL - (7 - OpeningDayWeek) * INT(TTL/7)) + DiskContactPerHourEs*OpeningHour*(TTL - (7 - OpeningDayWeek) * INT(TTL/7))</f>
        <v>318.81637573242188</v>
      </c>
    </row>
    <row r="38" spans="1:8" x14ac:dyDescent="0.25">
      <c r="A38" s="22"/>
      <c r="B38" s="22"/>
      <c r="C38" s="22"/>
      <c r="D38" s="22"/>
      <c r="E38" s="22"/>
      <c r="F38" s="22"/>
      <c r="G38" s="22"/>
    </row>
    <row r="39" spans="1:8" x14ac:dyDescent="0.25">
      <c r="A39" s="22"/>
      <c r="B39" s="22"/>
      <c r="C39" s="22"/>
      <c r="D39" s="22"/>
      <c r="E39" s="22"/>
      <c r="F39" s="22"/>
      <c r="G39" s="22"/>
    </row>
    <row r="40" spans="1:8" x14ac:dyDescent="0.25">
      <c r="A40" s="22"/>
      <c r="B40" s="22"/>
      <c r="C40" s="22"/>
      <c r="D40" s="22"/>
      <c r="E40" s="22"/>
      <c r="F40" s="22"/>
      <c r="G40" s="22"/>
    </row>
    <row r="41" spans="1:8" ht="15.75" x14ac:dyDescent="0.25">
      <c r="A41" s="28" t="s">
        <v>105</v>
      </c>
      <c r="B41" s="33"/>
      <c r="C41" s="34"/>
      <c r="D41" s="34"/>
      <c r="E41" s="34"/>
      <c r="F41" s="34"/>
      <c r="G41" s="34"/>
    </row>
    <row r="42" spans="1:8" ht="15.75" x14ac:dyDescent="0.25">
      <c r="A42" s="27"/>
      <c r="B42" s="53" t="s">
        <v>16</v>
      </c>
      <c r="C42" s="71" t="s">
        <v>17</v>
      </c>
      <c r="D42" s="71" t="s">
        <v>18</v>
      </c>
      <c r="E42" s="71" t="s">
        <v>19</v>
      </c>
      <c r="F42" s="71" t="s">
        <v>20</v>
      </c>
      <c r="G42" s="71" t="s">
        <v>65</v>
      </c>
      <c r="H42" s="71" t="s">
        <v>124</v>
      </c>
    </row>
    <row r="43" spans="1:8" ht="15.75" x14ac:dyDescent="0.25">
      <c r="A43" s="33"/>
      <c r="B43" s="53"/>
      <c r="C43" s="71"/>
      <c r="D43" s="71"/>
      <c r="E43" s="71"/>
      <c r="F43" s="71"/>
      <c r="G43" s="71"/>
      <c r="H43" s="71"/>
    </row>
    <row r="44" spans="1:8" ht="15.75" x14ac:dyDescent="0.25">
      <c r="A44" s="33"/>
      <c r="B44" s="36"/>
      <c r="C44" s="67">
        <f>SUM(EmailPerHour,ChatPerHour,OtherIxnPerHour,CallPerHour)</f>
        <v>10900</v>
      </c>
      <c r="D44" s="67">
        <f>C44*OpeningHour</f>
        <v>261600</v>
      </c>
      <c r="E44" s="67">
        <f>D44*MIN(OpeningDayWeek,TTL)</f>
        <v>1831200</v>
      </c>
      <c r="F44" s="67">
        <f>D44*MIN(OpeningDayWeek*52/12,TTL)</f>
        <v>7935200</v>
      </c>
      <c r="G44" s="67">
        <f>D44*MIN(OpeningDayWeek*52,TTL)</f>
        <v>23544000</v>
      </c>
      <c r="H44" s="67">
        <f>D44*(TTL - (7 - OpeningDayWeek) * INT(TTL/7))</f>
        <v>23544000</v>
      </c>
    </row>
    <row r="48" spans="1:8" ht="15.75" x14ac:dyDescent="0.25">
      <c r="A48" s="28" t="s">
        <v>106</v>
      </c>
      <c r="B48" s="33"/>
      <c r="C48" s="34"/>
      <c r="D48" s="34"/>
      <c r="E48" s="34"/>
      <c r="F48" s="34"/>
      <c r="G48" s="34"/>
    </row>
    <row r="49" spans="1:8" ht="15.75" x14ac:dyDescent="0.25">
      <c r="A49" s="27"/>
      <c r="B49" s="53" t="s">
        <v>16</v>
      </c>
      <c r="C49" s="71" t="s">
        <v>17</v>
      </c>
      <c r="D49" s="71" t="s">
        <v>18</v>
      </c>
      <c r="E49" s="71" t="s">
        <v>19</v>
      </c>
      <c r="F49" s="71" t="s">
        <v>20</v>
      </c>
      <c r="G49" s="71" t="s">
        <v>65</v>
      </c>
      <c r="H49" s="71" t="s">
        <v>125</v>
      </c>
    </row>
    <row r="50" spans="1:8" ht="15.75" x14ac:dyDescent="0.25">
      <c r="A50" s="33"/>
      <c r="B50" s="53"/>
      <c r="C50" s="71"/>
      <c r="D50" s="71"/>
      <c r="E50" s="71"/>
      <c r="F50" s="71"/>
      <c r="G50" s="71"/>
      <c r="H50" s="71"/>
    </row>
    <row r="51" spans="1:8" ht="15.75" x14ac:dyDescent="0.25">
      <c r="A51" s="33"/>
      <c r="B51" s="36"/>
      <c r="C51" s="67">
        <f>ContactPerHour</f>
        <v>500</v>
      </c>
      <c r="D51" s="67">
        <f>C51*OpeningHour</f>
        <v>12000</v>
      </c>
      <c r="E51" s="67">
        <f>D51*OpeningDayWeek</f>
        <v>84000</v>
      </c>
      <c r="F51" s="67">
        <f>(E51*52)/12</f>
        <v>364000</v>
      </c>
      <c r="G51" s="67">
        <f>E51*52</f>
        <v>4368000</v>
      </c>
      <c r="H51" s="67" t="s">
        <v>126</v>
      </c>
    </row>
  </sheetData>
  <sheetProtection algorithmName="SHA-512" hashValue="5fkLxAKU5+oww23QRk5eJ+SgjOnEJyP+wIhIlK41EIXkcz+28StgdnZP02IV3B8ebQFMkMrzfqJS/S4AVqSudQ==" saltValue="Jw1y9MDxR5yLXwtZ3Gi/CQ==" spinCount="100000" sheet="1" objects="1" scenarios="1"/>
  <dataConsolidate/>
  <mergeCells count="27">
    <mergeCell ref="H42:H43"/>
    <mergeCell ref="C42:C43"/>
    <mergeCell ref="D42:D43"/>
    <mergeCell ref="E42:E43"/>
    <mergeCell ref="F42:F43"/>
    <mergeCell ref="G42:G43"/>
    <mergeCell ref="H28:H29"/>
    <mergeCell ref="H35:H36"/>
    <mergeCell ref="A23:H25"/>
    <mergeCell ref="A13:H15"/>
    <mergeCell ref="A1:H3"/>
    <mergeCell ref="C35:C36"/>
    <mergeCell ref="D35:D36"/>
    <mergeCell ref="E35:E36"/>
    <mergeCell ref="F35:F36"/>
    <mergeCell ref="G35:G36"/>
    <mergeCell ref="C28:C29"/>
    <mergeCell ref="D28:D29"/>
    <mergeCell ref="E28:E29"/>
    <mergeCell ref="F28:F29"/>
    <mergeCell ref="G28:G29"/>
    <mergeCell ref="H49:H50"/>
    <mergeCell ref="C49:C50"/>
    <mergeCell ref="D49:D50"/>
    <mergeCell ref="E49:E50"/>
    <mergeCell ref="F49:F50"/>
    <mergeCell ref="G49:G50"/>
  </mergeCells>
  <dataValidations count="2">
    <dataValidation type="whole" operator="greaterThanOrEqual" allowBlank="1" showInputMessage="1" showErrorMessage="1" sqref="C5:C9">
      <formula1>0</formula1>
    </dataValidation>
    <dataValidation type="whole" operator="greaterThan" allowBlank="1" showInputMessage="1" showErrorMessage="1" sqref="C11:C1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H20"/>
  <sheetViews>
    <sheetView zoomScale="80" zoomScaleNormal="80" workbookViewId="0">
      <selection activeCell="C17" sqref="C17"/>
    </sheetView>
  </sheetViews>
  <sheetFormatPr defaultRowHeight="15" x14ac:dyDescent="0.25"/>
  <cols>
    <col min="1" max="1" width="61.5703125" bestFit="1" customWidth="1"/>
    <col min="2" max="2" width="13.140625" customWidth="1"/>
    <col min="4" max="4" width="10.5703125" bestFit="1" customWidth="1"/>
    <col min="5" max="5" width="13.85546875" customWidth="1"/>
    <col min="6" max="6" width="15" customWidth="1"/>
    <col min="7" max="7" width="12.85546875" customWidth="1"/>
    <col min="8" max="8" width="15" customWidth="1"/>
  </cols>
  <sheetData>
    <row r="1" spans="1:8" x14ac:dyDescent="0.25">
      <c r="A1" s="74" t="s">
        <v>49</v>
      </c>
      <c r="B1" s="77"/>
      <c r="C1" s="77"/>
      <c r="D1" s="77"/>
      <c r="E1" s="77"/>
      <c r="F1" s="77"/>
      <c r="G1" s="77"/>
      <c r="H1" s="77"/>
    </row>
    <row r="2" spans="1:8" x14ac:dyDescent="0.25">
      <c r="A2" s="77"/>
      <c r="B2" s="77"/>
      <c r="C2" s="77"/>
      <c r="D2" s="77"/>
      <c r="E2" s="77"/>
      <c r="F2" s="77"/>
      <c r="G2" s="77"/>
      <c r="H2" s="77"/>
    </row>
    <row r="3" spans="1:8" ht="15.75" thickBot="1" x14ac:dyDescent="0.3">
      <c r="A3" s="78"/>
      <c r="B3" s="78"/>
      <c r="C3" s="78"/>
      <c r="D3" s="78"/>
      <c r="E3" s="78"/>
      <c r="F3" s="78"/>
      <c r="G3" s="78"/>
      <c r="H3" s="78"/>
    </row>
    <row r="5" spans="1:8" ht="15.75" x14ac:dyDescent="0.25">
      <c r="A5" s="35" t="s">
        <v>118</v>
      </c>
      <c r="B5" s="29"/>
      <c r="C5" s="56">
        <v>50</v>
      </c>
    </row>
    <row r="6" spans="1:8" ht="15.75" x14ac:dyDescent="0.25">
      <c r="A6" s="35" t="s">
        <v>63</v>
      </c>
      <c r="B6" s="29"/>
      <c r="C6" s="56">
        <v>20</v>
      </c>
    </row>
    <row r="7" spans="1:8" ht="15.75" x14ac:dyDescent="0.25">
      <c r="A7" s="35"/>
      <c r="B7" s="29"/>
      <c r="C7" s="61"/>
    </row>
    <row r="8" spans="1:8" ht="15.75" x14ac:dyDescent="0.25">
      <c r="A8" s="35"/>
      <c r="B8" s="29"/>
      <c r="C8" s="61"/>
    </row>
    <row r="9" spans="1:8" ht="15.75" x14ac:dyDescent="0.25">
      <c r="A9" s="35" t="s">
        <v>119</v>
      </c>
      <c r="B9" s="29"/>
      <c r="C9" s="56">
        <v>20</v>
      </c>
    </row>
    <row r="10" spans="1:8" ht="15.75" x14ac:dyDescent="0.25">
      <c r="A10" s="35" t="s">
        <v>64</v>
      </c>
      <c r="B10" s="29"/>
      <c r="C10" s="56">
        <v>200</v>
      </c>
    </row>
    <row r="11" spans="1:8" ht="15.75" x14ac:dyDescent="0.25">
      <c r="A11" s="37"/>
      <c r="B11" s="38"/>
      <c r="C11" s="61"/>
    </row>
    <row r="12" spans="1:8" ht="15.75" x14ac:dyDescent="0.25">
      <c r="A12" s="35" t="s">
        <v>131</v>
      </c>
      <c r="B12" s="29"/>
      <c r="C12" s="56">
        <v>5</v>
      </c>
    </row>
    <row r="13" spans="1:8" ht="15.75" x14ac:dyDescent="0.25">
      <c r="A13" s="35"/>
      <c r="B13" s="29"/>
      <c r="C13" s="62"/>
    </row>
    <row r="14" spans="1:8" ht="15.75" x14ac:dyDescent="0.25">
      <c r="A14" s="35" t="s">
        <v>97</v>
      </c>
      <c r="C14" s="56">
        <v>24</v>
      </c>
    </row>
    <row r="15" spans="1:8" x14ac:dyDescent="0.25">
      <c r="C15" s="62"/>
    </row>
    <row r="16" spans="1:8" ht="15.75" x14ac:dyDescent="0.25">
      <c r="A16" s="29" t="s">
        <v>116</v>
      </c>
      <c r="C16" s="56">
        <v>7</v>
      </c>
    </row>
    <row r="18" spans="1:3" ht="15.75" x14ac:dyDescent="0.25">
      <c r="A18" s="29" t="s">
        <v>107</v>
      </c>
      <c r="C18" s="56">
        <v>1000</v>
      </c>
    </row>
    <row r="20" spans="1:3" ht="15.75" x14ac:dyDescent="0.25">
      <c r="A20" s="29" t="s">
        <v>104</v>
      </c>
      <c r="C20" s="68">
        <v>1</v>
      </c>
    </row>
  </sheetData>
  <sheetProtection algorithmName="SHA-512" hashValue="hapWeLRP5fbwP6iHMjKI9mQpNXybwWAOhY+s2+8tQZNqhbtZrjzpxR/C2oZjTiSkW10WPOsTCtl3MQ/8GjUUSA==" saltValue="Rve5dwBmfblyJHWxgQQnuA==" spinCount="100000" sheet="1" objects="1" scenarios="1"/>
  <dataConsolidate/>
  <mergeCells count="1">
    <mergeCell ref="A1:H3"/>
  </mergeCells>
  <dataValidations count="3">
    <dataValidation type="whole" allowBlank="1" showInputMessage="1" showErrorMessage="1" sqref="C16">
      <formula1>1</formula1>
      <formula2>7</formula2>
    </dataValidation>
    <dataValidation type="whole" allowBlank="1" showInputMessage="1" showErrorMessage="1" sqref="C14">
      <formula1>1</formula1>
      <formula2>24</formula2>
    </dataValidation>
    <dataValidation type="whole" operator="greaterThan" allowBlank="1" showInputMessage="1" showErrorMessage="1" sqref="C20 C5 C6 C9 C10 C12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36"/>
  <sheetViews>
    <sheetView zoomScale="70" zoomScaleNormal="70" workbookViewId="0">
      <selection activeCell="C30" sqref="C30"/>
    </sheetView>
  </sheetViews>
  <sheetFormatPr defaultRowHeight="15" x14ac:dyDescent="0.25"/>
  <cols>
    <col min="1" max="1" width="69.42578125" customWidth="1"/>
    <col min="2" max="2" width="11.5703125" bestFit="1" customWidth="1"/>
    <col min="3" max="3" width="26.140625" customWidth="1"/>
    <col min="4" max="4" width="13.85546875" customWidth="1"/>
    <col min="5" max="5" width="15" customWidth="1"/>
    <col min="6" max="6" width="12.85546875" customWidth="1"/>
    <col min="7" max="7" width="13.140625" customWidth="1"/>
    <col min="8" max="8" width="13.28515625" customWidth="1"/>
    <col min="9" max="9" width="12.7109375" customWidth="1"/>
    <col min="10" max="10" width="11.85546875" customWidth="1"/>
    <col min="11" max="11" width="11" customWidth="1"/>
    <col min="12" max="12" width="11.5703125" customWidth="1"/>
  </cols>
  <sheetData>
    <row r="1" spans="1:12" x14ac:dyDescent="0.25">
      <c r="A1" s="74" t="s">
        <v>60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1:12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1:12" x14ac:dyDescent="0.25">
      <c r="A3" s="75"/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</row>
    <row r="5" spans="1:12" ht="15.75" x14ac:dyDescent="0.25">
      <c r="A5" s="29" t="s">
        <v>108</v>
      </c>
      <c r="B5" s="29"/>
      <c r="C5" s="56">
        <v>4500000</v>
      </c>
    </row>
    <row r="6" spans="1:12" ht="15.75" x14ac:dyDescent="0.25">
      <c r="A6" s="29" t="s">
        <v>109</v>
      </c>
      <c r="B6" s="29"/>
      <c r="C6" s="56">
        <v>3</v>
      </c>
    </row>
    <row r="7" spans="1:12" ht="15.75" x14ac:dyDescent="0.25">
      <c r="A7" s="29" t="s">
        <v>120</v>
      </c>
      <c r="B7" s="29"/>
      <c r="C7" s="56">
        <v>1000000</v>
      </c>
    </row>
    <row r="8" spans="1:12" ht="15.75" x14ac:dyDescent="0.25">
      <c r="A8" s="29" t="s">
        <v>110</v>
      </c>
      <c r="B8" s="29"/>
      <c r="C8" s="59">
        <v>1.5</v>
      </c>
    </row>
    <row r="9" spans="1:12" ht="15.75" x14ac:dyDescent="0.25">
      <c r="A9" s="29" t="s">
        <v>111</v>
      </c>
      <c r="B9" s="29"/>
      <c r="C9" s="56">
        <v>1000000</v>
      </c>
    </row>
    <row r="10" spans="1:12" ht="15.75" x14ac:dyDescent="0.25">
      <c r="A10" s="29" t="s">
        <v>112</v>
      </c>
      <c r="B10" s="29"/>
      <c r="C10" s="56">
        <v>400000</v>
      </c>
    </row>
    <row r="11" spans="1:12" ht="15.75" x14ac:dyDescent="0.25">
      <c r="A11" s="29" t="s">
        <v>113</v>
      </c>
      <c r="B11" s="29"/>
      <c r="C11" s="56">
        <v>10000</v>
      </c>
    </row>
    <row r="12" spans="1:12" ht="15.75" x14ac:dyDescent="0.25">
      <c r="A12" s="29"/>
      <c r="B12" s="29"/>
      <c r="C12" s="47"/>
    </row>
    <row r="13" spans="1:12" ht="14.45" customHeight="1" x14ac:dyDescent="0.25">
      <c r="A13" s="74" t="s">
        <v>62</v>
      </c>
      <c r="B13" s="74"/>
      <c r="C13" s="74"/>
      <c r="D13" s="74"/>
      <c r="E13" s="74"/>
      <c r="F13" s="74"/>
      <c r="G13" s="74"/>
      <c r="H13" s="74"/>
      <c r="I13" s="74"/>
      <c r="J13" s="74"/>
      <c r="K13" s="74"/>
      <c r="L13" s="74"/>
    </row>
    <row r="14" spans="1:12" s="10" customFormat="1" ht="15.75" customHeight="1" x14ac:dyDescent="0.25">
      <c r="A14" s="74"/>
      <c r="B14" s="74"/>
      <c r="C14" s="74"/>
      <c r="D14" s="74"/>
      <c r="E14" s="74"/>
      <c r="F14" s="74"/>
      <c r="G14" s="74"/>
      <c r="H14" s="74"/>
      <c r="I14" s="74"/>
      <c r="J14" s="74"/>
      <c r="K14" s="74"/>
      <c r="L14" s="74"/>
    </row>
    <row r="15" spans="1:12" s="10" customFormat="1" ht="15.75" customHeight="1" x14ac:dyDescent="0.25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</row>
    <row r="16" spans="1:12" s="10" customFormat="1" ht="15.75" customHeight="1" x14ac:dyDescent="0.3">
      <c r="A16" s="49"/>
      <c r="B16" s="49"/>
      <c r="C16" s="49"/>
      <c r="D16" s="49"/>
      <c r="E16" s="49"/>
      <c r="F16" s="49"/>
      <c r="G16" s="49"/>
      <c r="H16" s="49"/>
      <c r="I16" s="15"/>
    </row>
    <row r="17" spans="1:12" ht="15.75" x14ac:dyDescent="0.25">
      <c r="A17" s="28" t="s">
        <v>114</v>
      </c>
      <c r="B17" s="33"/>
      <c r="C17" s="34"/>
      <c r="D17" s="34"/>
      <c r="E17" s="34"/>
      <c r="F17" s="34"/>
      <c r="G17" s="34"/>
    </row>
    <row r="18" spans="1:12" ht="15.75" x14ac:dyDescent="0.25">
      <c r="A18" s="27"/>
      <c r="B18" s="55" t="s">
        <v>16</v>
      </c>
      <c r="C18" s="71">
        <v>1</v>
      </c>
      <c r="D18" s="71">
        <v>2</v>
      </c>
      <c r="E18" s="71">
        <v>3</v>
      </c>
      <c r="F18" s="71">
        <v>4</v>
      </c>
      <c r="G18" s="71">
        <v>5</v>
      </c>
      <c r="H18" s="71">
        <v>6</v>
      </c>
      <c r="I18" s="71">
        <v>7</v>
      </c>
      <c r="J18" s="71">
        <v>8</v>
      </c>
      <c r="K18" s="71">
        <v>9</v>
      </c>
      <c r="L18" s="71">
        <v>10</v>
      </c>
    </row>
    <row r="19" spans="1:12" ht="15.75" x14ac:dyDescent="0.25">
      <c r="A19" s="33"/>
      <c r="B19" s="55"/>
      <c r="C19" s="71"/>
      <c r="D19" s="71"/>
      <c r="E19" s="71"/>
      <c r="F19" s="71"/>
      <c r="G19" s="71"/>
      <c r="H19" s="71"/>
      <c r="I19" s="71"/>
      <c r="J19" s="71"/>
      <c r="K19" s="71"/>
      <c r="L19" s="71"/>
    </row>
    <row r="20" spans="1:12" ht="15.75" x14ac:dyDescent="0.25">
      <c r="A20" s="33"/>
      <c r="B20" s="22"/>
      <c r="C20" s="69">
        <f>ROUNDUP(( (NbContact*ContactSize + PRODUCT(NbContact,PRODUCT(NbAvgContactAttribute,AvgExtensionSize)))/ContactFlowPerSec+(NbEmail*EmailSize+NbOtherMedia*Ixnsize+NbChat*ChatSize+NbVoice*Ixnsize)/IxnMigrationFlowPerSec+(TotalAttSize*1024*1024)/AttMigrationFlowPerSec)/3600,2)</f>
        <v>3.6999999999999997</v>
      </c>
      <c r="D20" s="60">
        <f t="shared" ref="D20:L20" si="0">ROUNDUP(C20 -C20*GDPSNodeFactor,2)</f>
        <v>2.59</v>
      </c>
      <c r="E20" s="60">
        <f t="shared" si="0"/>
        <v>1.82</v>
      </c>
      <c r="F20" s="60">
        <f t="shared" si="0"/>
        <v>1.28</v>
      </c>
      <c r="G20" s="60">
        <f t="shared" si="0"/>
        <v>0.9</v>
      </c>
      <c r="H20" s="60">
        <f t="shared" si="0"/>
        <v>0.63</v>
      </c>
      <c r="I20" s="60">
        <f t="shared" si="0"/>
        <v>0.45</v>
      </c>
      <c r="J20" s="60">
        <f t="shared" si="0"/>
        <v>0.32</v>
      </c>
      <c r="K20" s="60">
        <f t="shared" si="0"/>
        <v>0.23</v>
      </c>
      <c r="L20" s="60">
        <f t="shared" si="0"/>
        <v>0.17</v>
      </c>
    </row>
    <row r="21" spans="1:12" s="10" customFormat="1" ht="15.75" customHeight="1" x14ac:dyDescent="0.25">
      <c r="A21" s="21"/>
      <c r="B21" s="21"/>
      <c r="C21" s="21"/>
      <c r="D21" s="21"/>
      <c r="E21" s="21"/>
      <c r="F21" s="25"/>
      <c r="G21" s="21"/>
      <c r="I21" s="15"/>
    </row>
    <row r="22" spans="1:12" s="10" customFormat="1" ht="15.75" customHeight="1" x14ac:dyDescent="0.25">
      <c r="A22" s="22"/>
      <c r="B22" s="22"/>
      <c r="C22" s="22"/>
      <c r="D22" s="22"/>
      <c r="E22" s="21"/>
      <c r="F22" s="21"/>
      <c r="G22" s="23"/>
      <c r="I22" s="15"/>
    </row>
    <row r="23" spans="1:12" s="10" customFormat="1" ht="16.149999999999999" customHeight="1" x14ac:dyDescent="0.25">
      <c r="A23" s="72" t="s">
        <v>69</v>
      </c>
      <c r="B23" s="72"/>
      <c r="C23" s="72"/>
      <c r="D23" s="72"/>
      <c r="E23" s="72"/>
      <c r="F23" s="72"/>
      <c r="G23" s="72"/>
      <c r="H23" s="72"/>
      <c r="I23" s="72"/>
      <c r="J23" s="72"/>
      <c r="K23" s="72"/>
      <c r="L23" s="72"/>
    </row>
    <row r="24" spans="1:12" ht="14.45" customHeight="1" x14ac:dyDescent="0.25">
      <c r="A24" s="72"/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</row>
    <row r="25" spans="1:12" x14ac:dyDescent="0.25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</row>
    <row r="26" spans="1:12" ht="20.25" x14ac:dyDescent="0.3">
      <c r="A26" s="50"/>
      <c r="B26" s="50"/>
      <c r="C26" s="50"/>
      <c r="D26" s="50"/>
      <c r="E26" s="50"/>
      <c r="F26" s="50"/>
      <c r="G26" s="50"/>
    </row>
    <row r="27" spans="1:12" ht="15.75" x14ac:dyDescent="0.25">
      <c r="A27" s="28" t="s">
        <v>67</v>
      </c>
      <c r="B27" s="33"/>
      <c r="C27" s="60">
        <f>SUM( PRODUCT(NbContact,PRODUCT(AvgExtensionSize,NbAvgContactAttribute)), NbContact*ContactSize,NbChat*ChatSize, NbEmail*EmailSize,NbVoice*Ixnsize,NbOtherMedia*Ixnsize)*CassandraCompressionFactor/(1024*1024) + TotalAttSize*2</f>
        <v>46.519020080566406</v>
      </c>
      <c r="D27" s="34"/>
      <c r="E27" s="34"/>
      <c r="F27" s="34"/>
      <c r="G27" s="34"/>
    </row>
    <row r="28" spans="1:12" ht="15.75" x14ac:dyDescent="0.25">
      <c r="A28" s="27"/>
      <c r="B28" s="51" t="s">
        <v>16</v>
      </c>
      <c r="C28" s="35"/>
      <c r="D28" s="35"/>
      <c r="E28" s="35"/>
      <c r="F28" s="35"/>
      <c r="G28" s="35"/>
    </row>
    <row r="29" spans="1:12" ht="15.75" x14ac:dyDescent="0.25">
      <c r="A29" s="28"/>
      <c r="B29" s="36"/>
      <c r="C29" s="22"/>
      <c r="D29" s="22"/>
      <c r="E29" s="22"/>
      <c r="F29" s="22"/>
      <c r="G29" s="22"/>
    </row>
    <row r="30" spans="1:12" ht="15.75" x14ac:dyDescent="0.25">
      <c r="A30" s="28" t="s">
        <v>68</v>
      </c>
      <c r="B30" s="33"/>
      <c r="C30" s="60">
        <f>SUM( PRODUCT(NbContact,PRODUCT(AvgExtensionSize,NbAvgContactAttribute)), NbContact*ContactSize,NbChat*ChatSize, NbEmail*EmailSize,NbVoice*Ixnsize,NbOtherMedia*Ixnsize)*ESCompressionFactor/(1024*1024)</f>
        <v>43.519020080566406</v>
      </c>
      <c r="D30" s="22"/>
      <c r="E30" s="22"/>
      <c r="F30" s="22"/>
      <c r="G30" s="22"/>
    </row>
    <row r="31" spans="1:12" ht="15.75" x14ac:dyDescent="0.25">
      <c r="A31" s="27"/>
      <c r="B31" s="53" t="s">
        <v>16</v>
      </c>
      <c r="C31" s="12"/>
      <c r="D31" s="12"/>
      <c r="E31" s="10"/>
      <c r="F31" s="7"/>
    </row>
    <row r="32" spans="1:12" ht="15.75" x14ac:dyDescent="0.25">
      <c r="A32" s="33"/>
      <c r="B32" s="53"/>
    </row>
    <row r="33" spans="1:2" ht="15.75" x14ac:dyDescent="0.25">
      <c r="A33" s="33"/>
      <c r="B33" s="22"/>
    </row>
    <row r="34" spans="1:2" x14ac:dyDescent="0.25">
      <c r="A34" s="22"/>
      <c r="B34" s="22"/>
    </row>
    <row r="35" spans="1:2" x14ac:dyDescent="0.25">
      <c r="A35" s="22"/>
      <c r="B35" s="22"/>
    </row>
    <row r="36" spans="1:2" x14ac:dyDescent="0.25">
      <c r="A36" s="11"/>
      <c r="B36" s="12"/>
    </row>
  </sheetData>
  <sheetProtection algorithmName="SHA-512" hashValue="wLtX6KFiayOMCEs7sngJc13BGWq3yZB3WatthKkD1wT9E6pmn3CuLCMdgahfnZI+m6M5ixf5RBy2DoNEx3+glQ==" saltValue="lyq8MF9m39m6lzI4y8w3QQ==" spinCount="100000" sheet="1" objects="1" scenarios="1"/>
  <dataConsolidate/>
  <mergeCells count="13">
    <mergeCell ref="A13:L15"/>
    <mergeCell ref="A1:L3"/>
    <mergeCell ref="A23:L25"/>
    <mergeCell ref="H18:H19"/>
    <mergeCell ref="I18:I19"/>
    <mergeCell ref="J18:J19"/>
    <mergeCell ref="K18:K19"/>
    <mergeCell ref="L18:L19"/>
    <mergeCell ref="C18:C19"/>
    <mergeCell ref="D18:D19"/>
    <mergeCell ref="E18:E19"/>
    <mergeCell ref="F18:F19"/>
    <mergeCell ref="G18:G19"/>
  </mergeCells>
  <dataValidations count="1">
    <dataValidation type="whole" operator="greaterThanOrEqual" allowBlank="1" showInputMessage="1" showErrorMessage="1" sqref="C5:C7 C9:C11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F43"/>
  <sheetViews>
    <sheetView topLeftCell="A16" zoomScale="70" zoomScaleNormal="70" workbookViewId="0">
      <selection activeCell="C36" sqref="C36:D36"/>
    </sheetView>
  </sheetViews>
  <sheetFormatPr defaultRowHeight="15" x14ac:dyDescent="0.25"/>
  <cols>
    <col min="1" max="1" width="41.5703125" bestFit="1" customWidth="1"/>
    <col min="3" max="3" width="31.42578125" customWidth="1"/>
    <col min="4" max="4" width="27.140625" customWidth="1"/>
  </cols>
  <sheetData>
    <row r="1" spans="1:6" x14ac:dyDescent="0.25">
      <c r="A1" s="1"/>
      <c r="B1" s="1"/>
      <c r="C1" s="100" t="s">
        <v>96</v>
      </c>
      <c r="D1" s="100"/>
    </row>
    <row r="2" spans="1:6" s="9" customFormat="1" ht="20.25" x14ac:dyDescent="0.3">
      <c r="A2" s="18"/>
      <c r="B2" s="18"/>
      <c r="C2" s="18"/>
      <c r="D2" s="18"/>
    </row>
    <row r="3" spans="1:6" s="9" customFormat="1" ht="20.25" x14ac:dyDescent="0.3">
      <c r="A3" s="79" t="s">
        <v>99</v>
      </c>
      <c r="B3" s="79"/>
      <c r="C3" s="79"/>
      <c r="D3" s="79"/>
      <c r="E3" s="8"/>
      <c r="F3" s="8"/>
    </row>
    <row r="4" spans="1:6" x14ac:dyDescent="0.25">
      <c r="A4" s="97"/>
      <c r="B4" s="97"/>
      <c r="C4" s="98"/>
      <c r="D4" s="98"/>
    </row>
    <row r="5" spans="1:6" ht="15.75" x14ac:dyDescent="0.25">
      <c r="A5" s="82" t="s">
        <v>8</v>
      </c>
      <c r="B5" s="82"/>
      <c r="C5" s="99" t="s">
        <v>50</v>
      </c>
      <c r="D5" s="99"/>
    </row>
    <row r="6" spans="1:6" ht="15.75" x14ac:dyDescent="0.25">
      <c r="A6" s="82" t="s">
        <v>9</v>
      </c>
      <c r="B6" s="82"/>
      <c r="C6" s="101" t="s">
        <v>121</v>
      </c>
      <c r="D6" s="102"/>
    </row>
    <row r="7" spans="1:6" ht="15.75" x14ac:dyDescent="0.25">
      <c r="A7" s="82" t="s">
        <v>66</v>
      </c>
      <c r="B7" s="82"/>
      <c r="C7" s="96">
        <v>100</v>
      </c>
      <c r="D7" s="96"/>
    </row>
    <row r="8" spans="1:6" x14ac:dyDescent="0.25">
      <c r="A8" s="2"/>
      <c r="B8" s="2"/>
      <c r="C8" s="3"/>
      <c r="D8" s="4"/>
    </row>
    <row r="9" spans="1:6" x14ac:dyDescent="0.25">
      <c r="A9" s="14"/>
      <c r="B9" s="14"/>
      <c r="C9" s="3"/>
      <c r="D9" s="4"/>
    </row>
    <row r="10" spans="1:6" s="9" customFormat="1" ht="20.25" x14ac:dyDescent="0.3">
      <c r="A10" s="79" t="s">
        <v>98</v>
      </c>
      <c r="B10" s="79"/>
      <c r="C10" s="79"/>
      <c r="D10" s="79"/>
      <c r="E10" s="8"/>
      <c r="F10" s="8"/>
    </row>
    <row r="11" spans="1:6" x14ac:dyDescent="0.25">
      <c r="A11" s="97"/>
      <c r="B11" s="97"/>
      <c r="C11" s="98"/>
      <c r="D11" s="98"/>
    </row>
    <row r="12" spans="1:6" ht="15.75" x14ac:dyDescent="0.25">
      <c r="A12" s="82" t="s">
        <v>8</v>
      </c>
      <c r="B12" s="82"/>
      <c r="C12" s="88" t="s">
        <v>51</v>
      </c>
      <c r="D12" s="89"/>
    </row>
    <row r="13" spans="1:6" ht="15.75" x14ac:dyDescent="0.25">
      <c r="A13" s="82" t="s">
        <v>9</v>
      </c>
      <c r="B13" s="82"/>
      <c r="C13" s="103" t="s">
        <v>84</v>
      </c>
      <c r="D13" s="104"/>
    </row>
    <row r="14" spans="1:6" ht="15.75" x14ac:dyDescent="0.25">
      <c r="A14" s="82" t="s">
        <v>66</v>
      </c>
      <c r="B14" s="82"/>
      <c r="C14" s="96">
        <v>100</v>
      </c>
      <c r="D14" s="96"/>
    </row>
    <row r="15" spans="1:6" x14ac:dyDescent="0.25">
      <c r="A15" s="14"/>
      <c r="B15" s="14"/>
      <c r="C15" s="3"/>
      <c r="D15" s="4"/>
    </row>
    <row r="16" spans="1:6" ht="20.25" x14ac:dyDescent="0.3">
      <c r="A16" s="79" t="s">
        <v>10</v>
      </c>
      <c r="B16" s="79"/>
      <c r="C16" s="79"/>
      <c r="D16" s="79"/>
    </row>
    <row r="17" spans="1:4" x14ac:dyDescent="0.25">
      <c r="A17" s="5"/>
      <c r="B17" s="2"/>
      <c r="C17" s="3"/>
      <c r="D17" s="4"/>
    </row>
    <row r="18" spans="1:4" ht="15.75" x14ac:dyDescent="0.25">
      <c r="A18" s="39" t="s">
        <v>8</v>
      </c>
      <c r="B18" s="39"/>
      <c r="C18" s="88" t="s">
        <v>51</v>
      </c>
      <c r="D18" s="89"/>
    </row>
    <row r="19" spans="1:4" ht="15.75" x14ac:dyDescent="0.25">
      <c r="A19" s="39" t="s">
        <v>9</v>
      </c>
      <c r="B19" s="39"/>
      <c r="C19" s="94" t="s">
        <v>84</v>
      </c>
      <c r="D19" s="95"/>
    </row>
    <row r="20" spans="1:4" ht="15.75" x14ac:dyDescent="0.25">
      <c r="A20" s="82" t="s">
        <v>66</v>
      </c>
      <c r="B20" s="82"/>
      <c r="C20" s="83">
        <f xml:space="preserve">   MaxSizeDisk*2</f>
        <v>2000</v>
      </c>
      <c r="D20" s="84"/>
    </row>
    <row r="21" spans="1:4" x14ac:dyDescent="0.25">
      <c r="A21" s="14"/>
      <c r="B21" s="14"/>
      <c r="C21" s="6"/>
      <c r="D21" s="6"/>
    </row>
    <row r="22" spans="1:4" ht="20.25" x14ac:dyDescent="0.3">
      <c r="A22" s="79" t="s">
        <v>80</v>
      </c>
      <c r="B22" s="79"/>
      <c r="C22" s="79"/>
      <c r="D22" s="79"/>
    </row>
    <row r="23" spans="1:4" x14ac:dyDescent="0.25">
      <c r="A23" s="5"/>
      <c r="B23" s="14"/>
      <c r="C23" s="3"/>
      <c r="D23" s="4"/>
    </row>
    <row r="24" spans="1:4" ht="15.75" x14ac:dyDescent="0.25">
      <c r="A24" s="54" t="s">
        <v>8</v>
      </c>
      <c r="B24" s="54"/>
      <c r="C24" s="88" t="s">
        <v>51</v>
      </c>
      <c r="D24" s="89"/>
    </row>
    <row r="25" spans="1:4" ht="15.75" x14ac:dyDescent="0.25">
      <c r="A25" s="54" t="s">
        <v>9</v>
      </c>
      <c r="B25" s="54"/>
      <c r="C25" s="90" t="s">
        <v>84</v>
      </c>
      <c r="D25" s="91"/>
    </row>
    <row r="26" spans="1:4" ht="15.75" x14ac:dyDescent="0.25">
      <c r="A26" s="82" t="s">
        <v>66</v>
      </c>
      <c r="B26" s="82"/>
      <c r="C26" s="83">
        <f xml:space="preserve">   ROUNDUP( (TotalEsTtlSize*(1+ESReplicaFactor) / NbRecommendedEsNodes)*2,0) /0.8</f>
        <v>532.5</v>
      </c>
      <c r="D26" s="84"/>
    </row>
    <row r="27" spans="1:4" x14ac:dyDescent="0.25">
      <c r="A27" s="14"/>
      <c r="B27" s="14"/>
      <c r="C27" s="6"/>
      <c r="D27" s="6"/>
    </row>
    <row r="28" spans="1:4" ht="20.25" x14ac:dyDescent="0.3">
      <c r="A28" s="79" t="s">
        <v>52</v>
      </c>
      <c r="B28" s="79"/>
      <c r="C28" s="79"/>
      <c r="D28" s="79"/>
    </row>
    <row r="29" spans="1:4" ht="15.75" x14ac:dyDescent="0.25">
      <c r="A29" s="40" t="s">
        <v>103</v>
      </c>
      <c r="B29" s="41"/>
      <c r="C29" s="40" t="s">
        <v>134</v>
      </c>
      <c r="D29" s="41"/>
    </row>
    <row r="30" spans="1:4" ht="15.75" x14ac:dyDescent="0.25">
      <c r="A30" s="40" t="s">
        <v>115</v>
      </c>
      <c r="B30" s="41"/>
      <c r="C30" s="40" t="s">
        <v>22</v>
      </c>
      <c r="D30" s="41"/>
    </row>
    <row r="31" spans="1:4" ht="15.75" x14ac:dyDescent="0.25">
      <c r="A31" s="40" t="s">
        <v>102</v>
      </c>
      <c r="B31" s="41"/>
      <c r="C31" s="40" t="s">
        <v>22</v>
      </c>
      <c r="D31" s="41"/>
    </row>
    <row r="32" spans="1:4" ht="15.75" x14ac:dyDescent="0.25">
      <c r="A32" s="85" t="s">
        <v>11</v>
      </c>
      <c r="B32" s="85"/>
      <c r="C32" s="42" t="s">
        <v>12</v>
      </c>
      <c r="D32" s="42"/>
    </row>
    <row r="33" spans="1:4" ht="15.75" x14ac:dyDescent="0.25">
      <c r="A33" s="42"/>
      <c r="B33" s="42"/>
      <c r="C33" s="42"/>
      <c r="D33" s="42"/>
    </row>
    <row r="34" spans="1:4" ht="15.75" x14ac:dyDescent="0.25">
      <c r="A34" s="43" t="s">
        <v>13</v>
      </c>
      <c r="B34" s="42"/>
      <c r="C34" s="44" t="s">
        <v>14</v>
      </c>
      <c r="D34" s="44"/>
    </row>
    <row r="35" spans="1:4" ht="15.75" x14ac:dyDescent="0.25">
      <c r="A35" s="86" t="s">
        <v>101</v>
      </c>
      <c r="B35" s="86"/>
      <c r="C35" s="87" t="s">
        <v>56</v>
      </c>
      <c r="D35" s="87"/>
    </row>
    <row r="36" spans="1:4" ht="15.75" x14ac:dyDescent="0.25">
      <c r="A36" s="43" t="s">
        <v>100</v>
      </c>
      <c r="B36" s="63"/>
      <c r="C36" s="92" t="s">
        <v>83</v>
      </c>
      <c r="D36" s="93"/>
    </row>
    <row r="37" spans="1:4" ht="18" customHeight="1" x14ac:dyDescent="0.25">
      <c r="A37" s="43" t="s">
        <v>15</v>
      </c>
      <c r="B37" s="43"/>
      <c r="C37" s="94" t="s">
        <v>85</v>
      </c>
      <c r="D37" s="95"/>
    </row>
    <row r="38" spans="1:4" ht="15.75" x14ac:dyDescent="0.25">
      <c r="A38" s="43"/>
      <c r="B38" s="43"/>
      <c r="C38" s="43"/>
      <c r="D38" s="43"/>
    </row>
    <row r="39" spans="1:4" ht="31.9" customHeight="1" x14ac:dyDescent="0.25">
      <c r="A39" s="45" t="s">
        <v>7</v>
      </c>
      <c r="B39" s="43"/>
      <c r="C39" s="80" t="s">
        <v>53</v>
      </c>
      <c r="D39" s="81"/>
    </row>
    <row r="41" spans="1:4" ht="20.25" x14ac:dyDescent="0.3">
      <c r="A41" s="79" t="s">
        <v>86</v>
      </c>
      <c r="B41" s="79"/>
      <c r="C41" s="79"/>
      <c r="D41" s="79"/>
    </row>
    <row r="42" spans="1:4" ht="15.75" x14ac:dyDescent="0.25">
      <c r="A42" s="40" t="s">
        <v>87</v>
      </c>
      <c r="B42" s="41"/>
      <c r="C42" s="57" t="s">
        <v>136</v>
      </c>
      <c r="D42" s="41"/>
    </row>
    <row r="43" spans="1:4" ht="15.75" x14ac:dyDescent="0.25">
      <c r="A43" s="29" t="s">
        <v>88</v>
      </c>
      <c r="C43" s="58" t="s">
        <v>135</v>
      </c>
    </row>
  </sheetData>
  <sheetProtection algorithmName="SHA-512" hashValue="YRWL7njYu6q6jDxO4HI4fpxXhXe5KgyccTLQqSCQn2j6pG9Ekc/JWH0yRABSzX+4mGOsYDanMO2RLKWiqwyXcQ==" saltValue="zdJtXhrGWLvuI1qpso+e1Q==" spinCount="100000" sheet="1" objects="1" scenarios="1"/>
  <mergeCells count="37">
    <mergeCell ref="C1:D1"/>
    <mergeCell ref="C6:D6"/>
    <mergeCell ref="C12:D12"/>
    <mergeCell ref="C13:D13"/>
    <mergeCell ref="C18:D18"/>
    <mergeCell ref="C14:D14"/>
    <mergeCell ref="C19:D19"/>
    <mergeCell ref="A3:D3"/>
    <mergeCell ref="A16:D16"/>
    <mergeCell ref="A7:B7"/>
    <mergeCell ref="C7:D7"/>
    <mergeCell ref="A4:B4"/>
    <mergeCell ref="C4:D4"/>
    <mergeCell ref="A5:B5"/>
    <mergeCell ref="C5:D5"/>
    <mergeCell ref="A6:B6"/>
    <mergeCell ref="A10:D10"/>
    <mergeCell ref="A11:B11"/>
    <mergeCell ref="C11:D11"/>
    <mergeCell ref="A12:B12"/>
    <mergeCell ref="A13:B13"/>
    <mergeCell ref="A14:B14"/>
    <mergeCell ref="A41:D41"/>
    <mergeCell ref="C39:D39"/>
    <mergeCell ref="A20:B20"/>
    <mergeCell ref="C20:D20"/>
    <mergeCell ref="A28:D28"/>
    <mergeCell ref="A32:B32"/>
    <mergeCell ref="A35:B35"/>
    <mergeCell ref="C35:D35"/>
    <mergeCell ref="A22:D22"/>
    <mergeCell ref="A26:B26"/>
    <mergeCell ref="C26:D26"/>
    <mergeCell ref="C24:D24"/>
    <mergeCell ref="C25:D25"/>
    <mergeCell ref="C36:D36"/>
    <mergeCell ref="C37:D37"/>
  </mergeCells>
  <hyperlinks>
    <hyperlink ref="C42" r:id="rId1"/>
    <hyperlink ref="C43" r:id="rId2"/>
  </hyperlinks>
  <pageMargins left="0.7" right="0.7" top="0.75" bottom="0.75" header="0.3" footer="0.3"/>
  <pageSetup paperSize="9" orientation="portrait"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O25"/>
  <sheetViews>
    <sheetView zoomScale="70" zoomScaleNormal="70" workbookViewId="0">
      <selection activeCell="C7" sqref="C7"/>
    </sheetView>
  </sheetViews>
  <sheetFormatPr defaultColWidth="8.85546875" defaultRowHeight="12.75" x14ac:dyDescent="0.2"/>
  <cols>
    <col min="1" max="1" width="27.42578125" style="16" customWidth="1"/>
    <col min="2" max="6" width="12.7109375" style="16" customWidth="1"/>
    <col min="7" max="7" width="9.140625" style="16" hidden="1" customWidth="1"/>
    <col min="8" max="16384" width="8.85546875" style="16"/>
  </cols>
  <sheetData>
    <row r="1" spans="1:15" x14ac:dyDescent="0.2">
      <c r="A1" s="105" t="s">
        <v>54</v>
      </c>
      <c r="B1" s="105"/>
      <c r="C1" s="105"/>
      <c r="D1" s="105"/>
      <c r="E1" s="105"/>
      <c r="F1" s="105"/>
      <c r="G1" s="105"/>
    </row>
    <row r="2" spans="1:15" x14ac:dyDescent="0.2">
      <c r="A2" s="105"/>
      <c r="B2" s="105"/>
      <c r="C2" s="105"/>
      <c r="D2" s="105"/>
      <c r="E2" s="105"/>
      <c r="F2" s="105"/>
      <c r="G2" s="105"/>
    </row>
    <row r="3" spans="1:15" ht="13.5" thickBot="1" x14ac:dyDescent="0.25">
      <c r="A3" s="106"/>
      <c r="B3" s="106"/>
      <c r="C3" s="106"/>
      <c r="D3" s="106"/>
      <c r="E3" s="106"/>
      <c r="F3" s="106"/>
      <c r="G3" s="106"/>
    </row>
    <row r="4" spans="1:15" x14ac:dyDescent="0.2">
      <c r="A4" s="17"/>
      <c r="B4" s="17"/>
      <c r="C4" s="17"/>
      <c r="D4" s="17"/>
      <c r="E4" s="17"/>
      <c r="F4" s="17"/>
      <c r="G4" s="17"/>
    </row>
    <row r="5" spans="1:15" x14ac:dyDescent="0.2">
      <c r="A5" s="107" t="s">
        <v>41</v>
      </c>
      <c r="B5" s="107" t="s">
        <v>75</v>
      </c>
      <c r="C5" s="107" t="s">
        <v>76</v>
      </c>
      <c r="D5" s="107" t="s">
        <v>77</v>
      </c>
      <c r="E5" s="107" t="s">
        <v>78</v>
      </c>
      <c r="F5" s="107" t="s">
        <v>79</v>
      </c>
      <c r="G5" s="17"/>
    </row>
    <row r="6" spans="1:15" x14ac:dyDescent="0.2">
      <c r="A6" s="108"/>
      <c r="B6" s="108"/>
      <c r="C6" s="108"/>
      <c r="D6" s="108"/>
      <c r="E6" s="108"/>
      <c r="F6" s="108"/>
      <c r="G6" s="17"/>
    </row>
    <row r="7" spans="1:15" ht="15" x14ac:dyDescent="0.2">
      <c r="A7" s="46" t="s">
        <v>55</v>
      </c>
      <c r="B7" s="70">
        <f>(TotalDbSizePerHour*CassandraRF) + (TotalSizeEsHour*( 1+ESReplicaFactor))</f>
        <v>1.2323856353759766</v>
      </c>
      <c r="C7" s="70">
        <f>B7*OpeningHour</f>
        <v>29.577255249023438</v>
      </c>
      <c r="D7" s="70">
        <f>C7*OpeningDayWeek</f>
        <v>207.04078674316406</v>
      </c>
      <c r="E7" s="70">
        <f>(D7*52)/12</f>
        <v>897.17674255371094</v>
      </c>
      <c r="F7" s="70">
        <f>D7*52</f>
        <v>10766.120910644531</v>
      </c>
      <c r="G7" s="17"/>
    </row>
    <row r="8" spans="1:15" x14ac:dyDescent="0.2">
      <c r="A8" s="17"/>
      <c r="B8" s="17"/>
      <c r="C8" s="17"/>
      <c r="D8" s="17"/>
      <c r="E8" s="17"/>
      <c r="F8" s="17"/>
      <c r="G8" s="17"/>
    </row>
    <row r="9" spans="1:15" hidden="1" x14ac:dyDescent="0.2">
      <c r="A9" s="17"/>
      <c r="B9" s="17"/>
      <c r="C9" s="17"/>
      <c r="D9" s="17"/>
      <c r="E9" s="17"/>
      <c r="F9" s="17"/>
      <c r="G9" s="17"/>
      <c r="O9" s="17" t="s">
        <v>40</v>
      </c>
    </row>
    <row r="10" spans="1:15" hidden="1" x14ac:dyDescent="0.2">
      <c r="A10" s="17"/>
      <c r="B10" s="17"/>
      <c r="C10" s="17"/>
      <c r="D10" s="17"/>
      <c r="E10" s="17"/>
      <c r="F10" s="17"/>
      <c r="G10" s="17"/>
      <c r="O10" s="17"/>
    </row>
    <row r="11" spans="1:15" hidden="1" x14ac:dyDescent="0.2">
      <c r="A11" s="17"/>
      <c r="B11" s="17"/>
      <c r="C11" s="17"/>
      <c r="D11" s="17"/>
      <c r="E11" s="17"/>
      <c r="F11" s="17"/>
      <c r="G11" s="17"/>
      <c r="O11" s="17" t="s">
        <v>39</v>
      </c>
    </row>
    <row r="12" spans="1:15" hidden="1" x14ac:dyDescent="0.2">
      <c r="A12" s="17"/>
      <c r="B12" s="17"/>
      <c r="C12" s="17"/>
      <c r="D12" s="17"/>
      <c r="E12" s="17"/>
      <c r="F12" s="17"/>
      <c r="G12" s="17"/>
      <c r="O12" s="17"/>
    </row>
    <row r="13" spans="1:15" hidden="1" x14ac:dyDescent="0.2">
      <c r="A13" s="17"/>
      <c r="B13" s="17"/>
      <c r="C13" s="17"/>
      <c r="D13" s="17"/>
      <c r="E13" s="17"/>
      <c r="F13" s="17"/>
      <c r="G13" s="17"/>
      <c r="O13" s="17" t="s">
        <v>38</v>
      </c>
    </row>
    <row r="14" spans="1:15" hidden="1" x14ac:dyDescent="0.2">
      <c r="A14" s="17"/>
      <c r="B14" s="17"/>
      <c r="C14" s="17"/>
      <c r="D14" s="17"/>
      <c r="E14" s="17"/>
      <c r="F14" s="17"/>
      <c r="G14" s="17"/>
      <c r="O14" s="17"/>
    </row>
    <row r="15" spans="1:15" hidden="1" x14ac:dyDescent="0.2">
      <c r="A15" s="17"/>
      <c r="B15" s="17"/>
      <c r="C15" s="17"/>
      <c r="D15" s="17"/>
      <c r="E15" s="17"/>
      <c r="F15" s="17"/>
      <c r="G15" s="17"/>
      <c r="O15" s="17" t="s">
        <v>37</v>
      </c>
    </row>
    <row r="16" spans="1:15" hidden="1" x14ac:dyDescent="0.2">
      <c r="A16" s="17"/>
      <c r="B16" s="17"/>
      <c r="C16" s="17"/>
      <c r="D16" s="17"/>
      <c r="E16" s="17"/>
      <c r="F16" s="17"/>
      <c r="G16" s="17"/>
      <c r="O16" s="17"/>
    </row>
    <row r="17" spans="1:15" hidden="1" x14ac:dyDescent="0.2">
      <c r="A17" s="17"/>
      <c r="B17" s="17"/>
      <c r="C17" s="17"/>
      <c r="D17" s="17"/>
      <c r="E17" s="17"/>
      <c r="F17" s="17"/>
      <c r="G17" s="17"/>
      <c r="O17" s="17" t="s">
        <v>36</v>
      </c>
    </row>
    <row r="18" spans="1:15" hidden="1" x14ac:dyDescent="0.2">
      <c r="A18" s="17"/>
      <c r="B18" s="17"/>
      <c r="C18" s="17"/>
      <c r="D18" s="17"/>
      <c r="E18" s="17"/>
      <c r="F18" s="17"/>
      <c r="G18" s="17"/>
      <c r="O18" s="17"/>
    </row>
    <row r="19" spans="1:15" ht="0.75" customHeight="1" x14ac:dyDescent="0.2">
      <c r="A19" s="17"/>
      <c r="B19" s="17"/>
      <c r="C19" s="17"/>
      <c r="D19" s="17"/>
      <c r="E19" s="17"/>
      <c r="F19" s="17"/>
      <c r="G19" s="17"/>
      <c r="O19" s="17" t="s">
        <v>35</v>
      </c>
    </row>
    <row r="20" spans="1:15" x14ac:dyDescent="0.2">
      <c r="A20" s="17"/>
      <c r="B20" s="17"/>
      <c r="C20" s="17"/>
      <c r="D20" s="17"/>
      <c r="E20" s="17"/>
      <c r="F20" s="17"/>
      <c r="G20" s="17"/>
    </row>
    <row r="21" spans="1:15" x14ac:dyDescent="0.2">
      <c r="A21" s="17"/>
      <c r="B21" s="17"/>
      <c r="C21" s="17"/>
      <c r="D21" s="17"/>
      <c r="E21" s="17"/>
      <c r="F21" s="17"/>
      <c r="G21" s="17"/>
    </row>
    <row r="22" spans="1:15" x14ac:dyDescent="0.2">
      <c r="A22" s="17"/>
      <c r="B22" s="17"/>
      <c r="C22" s="17"/>
      <c r="D22" s="17"/>
      <c r="E22" s="17"/>
      <c r="F22" s="17"/>
      <c r="G22" s="17"/>
    </row>
    <row r="23" spans="1:15" x14ac:dyDescent="0.2">
      <c r="A23" s="17"/>
      <c r="B23" s="17"/>
      <c r="C23" s="17"/>
      <c r="D23" s="17"/>
      <c r="E23" s="17"/>
      <c r="F23" s="17"/>
      <c r="G23" s="17"/>
    </row>
    <row r="24" spans="1:15" x14ac:dyDescent="0.2">
      <c r="A24" s="17"/>
      <c r="B24" s="17"/>
    </row>
    <row r="25" spans="1:15" x14ac:dyDescent="0.2">
      <c r="A25" s="17"/>
      <c r="B25" s="17"/>
    </row>
  </sheetData>
  <sheetProtection algorithmName="SHA-512" hashValue="JwnFrDjKzSFSnAAb304ubaLEnPodcsh8b4c5encO+YC7h2n/o89iiFcER9zcAdZg4gJKDrSKN0TsjR0yLfNJdQ==" saltValue="Q0ugg1GhbVXS6ms1W/V7PQ==" spinCount="100000" sheet="1" objects="1" scenarios="1"/>
  <mergeCells count="7">
    <mergeCell ref="A1:G3"/>
    <mergeCell ref="B5:B6"/>
    <mergeCell ref="C5:C6"/>
    <mergeCell ref="D5:D6"/>
    <mergeCell ref="E5:E6"/>
    <mergeCell ref="F5:F6"/>
    <mergeCell ref="A5:A6"/>
  </mergeCells>
  <pageMargins left="0.7" right="0.7" top="0.75" bottom="0.75" header="0.3" footer="0.3"/>
  <pageSetup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5"/>
  <sheetViews>
    <sheetView workbookViewId="0">
      <selection activeCell="A5" sqref="A5"/>
    </sheetView>
  </sheetViews>
  <sheetFormatPr defaultRowHeight="15" x14ac:dyDescent="0.25"/>
  <cols>
    <col min="1" max="1" width="51" bestFit="1" customWidth="1"/>
  </cols>
  <sheetData>
    <row r="1" spans="1:2" x14ac:dyDescent="0.25">
      <c r="A1" t="s">
        <v>4</v>
      </c>
      <c r="B1">
        <f>PRODUCT(ContactSize,ContactPerHour)</f>
        <v>500</v>
      </c>
    </row>
    <row r="2" spans="1:2" x14ac:dyDescent="0.25">
      <c r="A2" t="s">
        <v>5</v>
      </c>
      <c r="B2">
        <f>PRODUCT(ContactPerHour,PRODUCT(AvgExtensionSize,NbExtensionPerContact))</f>
        <v>250</v>
      </c>
    </row>
    <row r="3" spans="1:2" x14ac:dyDescent="0.25">
      <c r="A3" t="s">
        <v>3</v>
      </c>
      <c r="B3">
        <f>CoreContactDiskUsagePerHour + ContactExtensionUsagePerHour</f>
        <v>750</v>
      </c>
    </row>
    <row r="5" spans="1:2" x14ac:dyDescent="0.25">
      <c r="A5" t="s">
        <v>0</v>
      </c>
      <c r="B5">
        <f>PRODUCT(EmailSize+Ixnsize,EmailPerHour )</f>
        <v>181800</v>
      </c>
    </row>
    <row r="6" spans="1:2" x14ac:dyDescent="0.25">
      <c r="A6" t="s">
        <v>1</v>
      </c>
      <c r="B6">
        <f>PRODUCT(ChatSize+Ixnsize,ChatPerHour)</f>
        <v>73800</v>
      </c>
    </row>
    <row r="7" spans="1:2" x14ac:dyDescent="0.25">
      <c r="A7" t="s">
        <v>2</v>
      </c>
      <c r="B7">
        <f>PRODUCT(Ixnsize,OtherIxnPerHour)</f>
        <v>50</v>
      </c>
    </row>
    <row r="8" spans="1:2" x14ac:dyDescent="0.25">
      <c r="A8" t="s">
        <v>25</v>
      </c>
      <c r="B8">
        <f>PRODUCT(Ixnsize,CallPerHour)</f>
        <v>1800</v>
      </c>
    </row>
    <row r="9" spans="1:2" x14ac:dyDescent="0.25">
      <c r="A9" t="s">
        <v>127</v>
      </c>
      <c r="B9">
        <f xml:space="preserve"> SUM(EmailDiskUsagePerHour,ChatDiskUsagePerHour, VoiceDiskUsagePerHour,OtherIxnDiskUsagePerHour)*CassandraCompressionFactor/(1024*1024) + (AttachmentDiskUsagePerHour*2)*CassandraCompressionFactor/(1024*1024)</f>
        <v>0.31210899353027344</v>
      </c>
    </row>
    <row r="10" spans="1:2" x14ac:dyDescent="0.25">
      <c r="A10" t="s">
        <v>128</v>
      </c>
      <c r="B10">
        <f xml:space="preserve"> SUM(EmailDiskUsagePerHour,ChatDiskUsagePerHour, VoiceDiskUsagePerHour,OtherIxnDiskUsagePerHour)*ESCompressionFactor/(1024*1024)</f>
        <v>0.14731407165527344</v>
      </c>
    </row>
    <row r="11" spans="1:2" x14ac:dyDescent="0.25">
      <c r="A11" t="s">
        <v>129</v>
      </c>
      <c r="B11">
        <f xml:space="preserve"> ContactPerHour*CassandraCompressionFactor/(1024*1024)</f>
        <v>2.86102294921875E-4</v>
      </c>
    </row>
    <row r="12" spans="1:2" x14ac:dyDescent="0.25">
      <c r="A12" t="s">
        <v>130</v>
      </c>
      <c r="B12">
        <f xml:space="preserve"> ContactPerHour*ESCompressionFactor/(1024*1024)</f>
        <v>2.86102294921875E-4</v>
      </c>
    </row>
    <row r="14" spans="1:2" x14ac:dyDescent="0.25">
      <c r="A14" t="s">
        <v>6</v>
      </c>
      <c r="B14">
        <f>((PercentageOfAttachment * EmailPerHour)/100)*(AvgAttchSize)</f>
        <v>144000</v>
      </c>
    </row>
    <row r="17" spans="1:2" x14ac:dyDescent="0.25">
      <c r="A17" t="s">
        <v>73</v>
      </c>
      <c r="B17">
        <f>PRODUCT(CassandraNodeDiskSize,0.9)</f>
        <v>1800</v>
      </c>
    </row>
    <row r="18" spans="1:2" x14ac:dyDescent="0.25">
      <c r="A18" t="s">
        <v>74</v>
      </c>
      <c r="B18">
        <f>PRODUCT(cassandraNodeFormattedDiskSpace,0.5)</f>
        <v>900</v>
      </c>
    </row>
    <row r="19" spans="1:2" x14ac:dyDescent="0.25">
      <c r="A19" t="s">
        <v>43</v>
      </c>
      <c r="B19">
        <v>0.6</v>
      </c>
    </row>
    <row r="20" spans="1:2" x14ac:dyDescent="0.25">
      <c r="A20" t="s">
        <v>44</v>
      </c>
      <c r="B20">
        <v>0.6</v>
      </c>
    </row>
    <row r="21" spans="1:2" x14ac:dyDescent="0.25">
      <c r="A21" t="s">
        <v>95</v>
      </c>
      <c r="B21">
        <v>0.3</v>
      </c>
    </row>
    <row r="23" spans="1:2" x14ac:dyDescent="0.25">
      <c r="A23" t="s">
        <v>21</v>
      </c>
      <c r="B23">
        <f>IF(CassandraRF=0,1,CassandraRF)</f>
        <v>3</v>
      </c>
    </row>
    <row r="24" spans="1:2" x14ac:dyDescent="0.25">
      <c r="A24" t="s">
        <v>132</v>
      </c>
      <c r="B24">
        <f>ROUNDUP((TotalEsTtlSize*(1+ESReplicaFactor))/EsDataFor1GbOfRam/RecommandedRAM,0)</f>
        <v>2</v>
      </c>
    </row>
    <row r="25" spans="1:2" x14ac:dyDescent="0.25">
      <c r="A25" t="s">
        <v>133</v>
      </c>
      <c r="B25">
        <f>ROUNDUP( (TotalTtlSize*CassandraRF)/MaxSizeDisk,0)</f>
        <v>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B29"/>
  <sheetViews>
    <sheetView workbookViewId="0">
      <selection activeCell="B4" sqref="B4"/>
    </sheetView>
  </sheetViews>
  <sheetFormatPr defaultRowHeight="15" x14ac:dyDescent="0.25"/>
  <cols>
    <col min="1" max="1" width="35.42578125" bestFit="1" customWidth="1"/>
    <col min="2" max="2" width="11" bestFit="1" customWidth="1"/>
  </cols>
  <sheetData>
    <row r="3" spans="1:2" x14ac:dyDescent="0.25">
      <c r="A3" t="s">
        <v>70</v>
      </c>
      <c r="B3">
        <v>1</v>
      </c>
    </row>
    <row r="4" spans="1:2" x14ac:dyDescent="0.25">
      <c r="A4" t="s">
        <v>71</v>
      </c>
      <c r="B4">
        <v>0.1</v>
      </c>
    </row>
    <row r="5" spans="1:2" ht="15" customHeight="1" x14ac:dyDescent="0.25">
      <c r="A5" t="s">
        <v>72</v>
      </c>
      <c r="B5">
        <v>0.5</v>
      </c>
    </row>
    <row r="7" spans="1:2" x14ac:dyDescent="0.25">
      <c r="A7" t="s">
        <v>26</v>
      </c>
      <c r="B7">
        <v>30</v>
      </c>
    </row>
    <row r="8" spans="1:2" x14ac:dyDescent="0.25">
      <c r="A8" t="s">
        <v>27</v>
      </c>
      <c r="B8">
        <v>30</v>
      </c>
    </row>
    <row r="9" spans="1:2" x14ac:dyDescent="0.25">
      <c r="A9" t="s">
        <v>28</v>
      </c>
      <c r="B9">
        <v>10</v>
      </c>
    </row>
    <row r="10" spans="1:2" x14ac:dyDescent="0.25">
      <c r="A10" t="s">
        <v>29</v>
      </c>
      <c r="B10">
        <v>10</v>
      </c>
    </row>
    <row r="11" spans="1:2" x14ac:dyDescent="0.25">
      <c r="A11" t="s">
        <v>30</v>
      </c>
      <c r="B11">
        <v>35</v>
      </c>
    </row>
    <row r="12" spans="1:2" x14ac:dyDescent="0.25">
      <c r="A12" t="s">
        <v>57</v>
      </c>
      <c r="B12">
        <v>3</v>
      </c>
    </row>
    <row r="14" spans="1:2" x14ac:dyDescent="0.25">
      <c r="A14" t="s">
        <v>31</v>
      </c>
      <c r="B14">
        <f>(  (CallPerHour/3600)*NbRequestPerVoice ) + ( (EmailPerHour/3600)*NbRequestPerEmail) + ( (ChatPerHour/3600)*NbRequestPerChat) + ( (OtherIxnPerHour/3600)*NbRequestPerVoice) + ( (ContactPerHour/3600)*NbRequestPerContact)</f>
        <v>70.694444444444443</v>
      </c>
    </row>
    <row r="15" spans="1:2" x14ac:dyDescent="0.25">
      <c r="A15" t="s">
        <v>32</v>
      </c>
      <c r="B15">
        <f xml:space="preserve"> ( CallPerHour + EmailPerHour + ChatPerHour + OtherIxnPerHour) / 3600</f>
        <v>3.0277777777777777</v>
      </c>
    </row>
    <row r="17" spans="1:2" x14ac:dyDescent="0.25">
      <c r="A17" t="s">
        <v>33</v>
      </c>
      <c r="B17">
        <v>750</v>
      </c>
    </row>
    <row r="18" spans="1:2" x14ac:dyDescent="0.25">
      <c r="A18" t="s">
        <v>34</v>
      </c>
      <c r="B18">
        <v>200</v>
      </c>
    </row>
    <row r="20" spans="1:2" x14ac:dyDescent="0.25">
      <c r="A20" t="s">
        <v>42</v>
      </c>
      <c r="B20">
        <v>2.5</v>
      </c>
    </row>
    <row r="22" spans="1:2" x14ac:dyDescent="0.25">
      <c r="A22" t="s">
        <v>82</v>
      </c>
      <c r="B22">
        <v>24</v>
      </c>
    </row>
    <row r="24" spans="1:2" x14ac:dyDescent="0.25">
      <c r="A24" t="s">
        <v>94</v>
      </c>
      <c r="B24">
        <v>800</v>
      </c>
    </row>
    <row r="25" spans="1:2" x14ac:dyDescent="0.25">
      <c r="A25" t="s">
        <v>92</v>
      </c>
      <c r="B25">
        <v>12000</v>
      </c>
    </row>
    <row r="26" spans="1:2" x14ac:dyDescent="0.25">
      <c r="A26" t="s">
        <v>93</v>
      </c>
      <c r="B26">
        <v>12000</v>
      </c>
    </row>
    <row r="28" spans="1:2" x14ac:dyDescent="0.25">
      <c r="A28" t="s">
        <v>89</v>
      </c>
      <c r="B28">
        <v>12</v>
      </c>
    </row>
    <row r="29" spans="1:2" x14ac:dyDescent="0.25">
      <c r="A29" t="s">
        <v>90</v>
      </c>
      <c r="B29">
        <v>16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92</vt:i4>
      </vt:variant>
    </vt:vector>
  </HeadingPairs>
  <TitlesOfParts>
    <vt:vector size="99" baseType="lpstr">
      <vt:lpstr>Main</vt:lpstr>
      <vt:lpstr>Advanced</vt:lpstr>
      <vt:lpstr>Migration</vt:lpstr>
      <vt:lpstr>Server profiles</vt:lpstr>
      <vt:lpstr>Data Transfer</vt:lpstr>
      <vt:lpstr>DiskUsage</vt:lpstr>
      <vt:lpstr>Data</vt:lpstr>
      <vt:lpstr>AttachmentDiskUsagePerHour</vt:lpstr>
      <vt:lpstr>AttMigrationFlowPerSec</vt:lpstr>
      <vt:lpstr>AvgAttchSize</vt:lpstr>
      <vt:lpstr>AvgExtensionSize</vt:lpstr>
      <vt:lpstr>Advanced!CallPerHour</vt:lpstr>
      <vt:lpstr>Migration!CallPerHour</vt:lpstr>
      <vt:lpstr>CallPerHour</vt:lpstr>
      <vt:lpstr>CassandraCompressionFactor</vt:lpstr>
      <vt:lpstr>CassandraNodeDiskSize</vt:lpstr>
      <vt:lpstr>cassandraNodeFormattedDiskSpace</vt:lpstr>
      <vt:lpstr>Advanced!CassandraRF</vt:lpstr>
      <vt:lpstr>CassandraRF</vt:lpstr>
      <vt:lpstr>ChatDiskUsagePerHour</vt:lpstr>
      <vt:lpstr>Advanced!ChatPerHour</vt:lpstr>
      <vt:lpstr>Migration!ChatPerHour</vt:lpstr>
      <vt:lpstr>ChatPerHour</vt:lpstr>
      <vt:lpstr>ChatSize</vt:lpstr>
      <vt:lpstr>CompactionDiskUsageFactor</vt:lpstr>
      <vt:lpstr>ContactExtensionUsagePerHour</vt:lpstr>
      <vt:lpstr>ContactFlowPerSec</vt:lpstr>
      <vt:lpstr>Migration!ContactPerHour</vt:lpstr>
      <vt:lpstr>ContactPerHour</vt:lpstr>
      <vt:lpstr>ContactSize</vt:lpstr>
      <vt:lpstr>CoreContactDiskUsagePerHour</vt:lpstr>
      <vt:lpstr>DbMigrationSize</vt:lpstr>
      <vt:lpstr>DiskContactPerHour</vt:lpstr>
      <vt:lpstr>DiskContactPerHourEs</vt:lpstr>
      <vt:lpstr>DiskIxnEsPerHour</vt:lpstr>
      <vt:lpstr>DiskIxnPerHour</vt:lpstr>
      <vt:lpstr>EmailDiskUsagePerHour</vt:lpstr>
      <vt:lpstr>Advanced!EmailPerHour</vt:lpstr>
      <vt:lpstr>Migration!EmailPerHour</vt:lpstr>
      <vt:lpstr>EmailPerHour</vt:lpstr>
      <vt:lpstr>EmailSize</vt:lpstr>
      <vt:lpstr>ESCompressionFactor</vt:lpstr>
      <vt:lpstr>EsDataFor1GbOfRam</vt:lpstr>
      <vt:lpstr>EsMigrationSize</vt:lpstr>
      <vt:lpstr>ESReplicaFactor</vt:lpstr>
      <vt:lpstr>GDPSNodeFactor</vt:lpstr>
      <vt:lpstr>IxnMigrationFlowPerSec</vt:lpstr>
      <vt:lpstr>Ixnsize</vt:lpstr>
      <vt:lpstr>MaxInteractionPerCass</vt:lpstr>
      <vt:lpstr>MaxRequestPerUCS</vt:lpstr>
      <vt:lpstr>MaxSizeDisk</vt:lpstr>
      <vt:lpstr>MaxUcsGib</vt:lpstr>
      <vt:lpstr>MinCassandraNodes</vt:lpstr>
      <vt:lpstr>MinimalRAM</vt:lpstr>
      <vt:lpstr>NbAvgContactAttribute</vt:lpstr>
      <vt:lpstr>NbCassandraNode</vt:lpstr>
      <vt:lpstr>NbChat</vt:lpstr>
      <vt:lpstr>NbContact</vt:lpstr>
      <vt:lpstr>NbEmail</vt:lpstr>
      <vt:lpstr>NbEsNode</vt:lpstr>
      <vt:lpstr>NbExtensionPerContact</vt:lpstr>
      <vt:lpstr>NBInteractionPerSecond</vt:lpstr>
      <vt:lpstr>NbOtherMedia</vt:lpstr>
      <vt:lpstr>NbRecommendedCassandraNode</vt:lpstr>
      <vt:lpstr>NbRecommendedEsNodes</vt:lpstr>
      <vt:lpstr>NbRequestPerChat</vt:lpstr>
      <vt:lpstr>NbRequestPerContact</vt:lpstr>
      <vt:lpstr>NbRequestPerEmail</vt:lpstr>
      <vt:lpstr>NbRequestPerEmailAtt</vt:lpstr>
      <vt:lpstr>NbRequestPerOtherMedia</vt:lpstr>
      <vt:lpstr>NbRequestPerSecond</vt:lpstr>
      <vt:lpstr>NbRequestPerVoice</vt:lpstr>
      <vt:lpstr>NbVoice</vt:lpstr>
      <vt:lpstr>OpeningDayWeek</vt:lpstr>
      <vt:lpstr>OpeningHour</vt:lpstr>
      <vt:lpstr>OtherIxnDiskUsagePerHour</vt:lpstr>
      <vt:lpstr>Advanced!OtherIxnPerHour</vt:lpstr>
      <vt:lpstr>Migration!OtherIxnPerHour</vt:lpstr>
      <vt:lpstr>OtherIxnPerHour</vt:lpstr>
      <vt:lpstr>PercentageOfAttachment</vt:lpstr>
      <vt:lpstr>RecommandedRAM</vt:lpstr>
      <vt:lpstr>TotalAttSize</vt:lpstr>
      <vt:lpstr>TotalContactUsagePerHour</vt:lpstr>
      <vt:lpstr>TotalDbSizePerDay</vt:lpstr>
      <vt:lpstr>TotalDbSizePerHour</vt:lpstr>
      <vt:lpstr>TotalDbSizePerMonth</vt:lpstr>
      <vt:lpstr>TotalDbSizePerWeek</vt:lpstr>
      <vt:lpstr>TotalDbSizePerYear</vt:lpstr>
      <vt:lpstr>TotalEsTtlSize</vt:lpstr>
      <vt:lpstr>TotalSizeEsDay</vt:lpstr>
      <vt:lpstr>Migration!TotalSizeEsHour</vt:lpstr>
      <vt:lpstr>TotalSizeEsHour</vt:lpstr>
      <vt:lpstr>TotalSizeEsMonth</vt:lpstr>
      <vt:lpstr>TotalSizeEsWeek</vt:lpstr>
      <vt:lpstr>TotalSizeEsYear</vt:lpstr>
      <vt:lpstr>TotalTtlSize</vt:lpstr>
      <vt:lpstr>TTL</vt:lpstr>
      <vt:lpstr>UcsMinGib</vt:lpstr>
      <vt:lpstr>VoiceDiskUsagePerHour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Rustuel</dc:creator>
  <cp:lastModifiedBy>Frederic Thomas</cp:lastModifiedBy>
  <dcterms:created xsi:type="dcterms:W3CDTF">2016-04-01T07:19:09Z</dcterms:created>
  <dcterms:modified xsi:type="dcterms:W3CDTF">2018-05-16T15:05:15Z</dcterms:modified>
</cp:coreProperties>
</file>