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C:\WORK\SIP Server--8.1.1\Hardware_Sizing_Guide\"/>
    </mc:Choice>
  </mc:AlternateContent>
  <bookViews>
    <workbookView xWindow="-168" yWindow="0" windowWidth="13512" windowHeight="8988" tabRatio="500" activeTab="1"/>
  </bookViews>
  <sheets>
    <sheet name="Cover" sheetId="6" r:id="rId1"/>
    <sheet name="User Guide" sheetId="14" r:id="rId2"/>
    <sheet name="Input&amp;Calculation" sheetId="3" r:id="rId3"/>
    <sheet name="Input&amp;Calculation (Redirect)" sheetId="15" r:id="rId4"/>
    <sheet name="Windows_all" sheetId="8" r:id="rId5"/>
    <sheet name="Windows_trace" sheetId="9" r:id="rId6"/>
    <sheet name="Linux_all" sheetId="11" r:id="rId7"/>
    <sheet name="Linux_trace" sheetId="10" r:id="rId8"/>
    <sheet name="Network" sheetId="12" r:id="rId9"/>
  </sheets>
  <definedNames>
    <definedName name="CM_1confr" localSheetId="6">Linux_all!$C$7</definedName>
    <definedName name="CM_1confr" localSheetId="7">Linux_trace!$C$7</definedName>
    <definedName name="CM_1confr" localSheetId="4">Windows_all!$C$7</definedName>
    <definedName name="CM_1confr" localSheetId="5">Windows_trace!$C$7</definedName>
    <definedName name="CM_1xfer" localSheetId="6">Linux_all!$C$4</definedName>
    <definedName name="CM_1xfer" localSheetId="7">Linux_trace!$C$4</definedName>
    <definedName name="CM_1xfer" localSheetId="4">Windows_all!$C$4</definedName>
    <definedName name="CM_1xfer" localSheetId="5">Windows_trace!$C$4</definedName>
    <definedName name="CM_2confr" localSheetId="6">Linux_all!$C$8</definedName>
    <definedName name="CM_2confr" localSheetId="7">Linux_trace!$C$8</definedName>
    <definedName name="CM_2confr" localSheetId="4">Windows_all!$C$8</definedName>
    <definedName name="CM_2confr" localSheetId="5">Windows_trace!$C$8</definedName>
    <definedName name="CM_2xfer" localSheetId="6">Linux_all!$C$5</definedName>
    <definedName name="CM_2xfer" localSheetId="7">Linux_trace!$C$5</definedName>
    <definedName name="CM_2xfer" localSheetId="4">Windows_all!$C$5</definedName>
    <definedName name="CM_2xfer" localSheetId="5">Windows_trace!$C$5</definedName>
    <definedName name="CM_aclients" localSheetId="6">Linux_all!$C$27</definedName>
    <definedName name="CM_aclients" localSheetId="7">Linux_trace!$C$27</definedName>
    <definedName name="CM_aclients" localSheetId="4">Windows_all!$C$27</definedName>
    <definedName name="CM_aclients" localSheetId="5">Windows_trace!$C$27</definedName>
    <definedName name="CM_attach" localSheetId="6">Linux_all!$C$25</definedName>
    <definedName name="CM_attach" localSheetId="7">Linux_trace!$C$25</definedName>
    <definedName name="CM_attach" localSheetId="4">Windows_all!$C$25</definedName>
    <definedName name="CM_attach" localSheetId="5">Windows_trace!$C$25</definedName>
    <definedName name="CM_consult" localSheetId="6">Linux_all!$C$9</definedName>
    <definedName name="CM_consult" localSheetId="7">Linux_trace!$C$9</definedName>
    <definedName name="CM_consult" localSheetId="4">Windows_all!$C$9</definedName>
    <definedName name="CM_consult" localSheetId="5">Windows_trace!$C$9</definedName>
    <definedName name="CM_inbound" localSheetId="6">Linux_all!$C$3</definedName>
    <definedName name="CM_inbound" localSheetId="7">Linux_trace!$C$3</definedName>
    <definedName name="CM_inbound" localSheetId="4">Windows_all!$C$3</definedName>
    <definedName name="CM_inbound" localSheetId="5">Windows_trace!$C$3</definedName>
    <definedName name="CM_intern" localSheetId="6">Linux_all!$C$10</definedName>
    <definedName name="CM_intern" localSheetId="7">Linux_trace!$C$10</definedName>
    <definedName name="CM_intern" localSheetId="4">Windows_all!$C$10</definedName>
    <definedName name="CM_intern" localSheetId="5">Windows_trace!$C$10</definedName>
    <definedName name="CM_iscc_directUUI" localSheetId="6">Linux_all!$C$18</definedName>
    <definedName name="CM_iscc_directUUI" localSheetId="7">Linux_trace!$C$18</definedName>
    <definedName name="CM_iscc_directUUI" localSheetId="4">Windows_all!$C$18</definedName>
    <definedName name="CM_iscc_directUUI" localSheetId="5">Windows_trace!$C$18</definedName>
    <definedName name="CM_iscc_route" localSheetId="6">Linux_all!$C$19</definedName>
    <definedName name="CM_iscc_route" localSheetId="7">Linux_trace!$C$19</definedName>
    <definedName name="CM_iscc_route" localSheetId="4">Windows_all!$C$19</definedName>
    <definedName name="CM_iscc_route" localSheetId="5">Windows_trace!$C$19</definedName>
    <definedName name="CM_iscc_source" localSheetId="6">Linux_all!$C$17</definedName>
    <definedName name="CM_iscc_source" localSheetId="7">Linux_trace!$C$17</definedName>
    <definedName name="CM_iscc_source" localSheetId="4">Windows_all!$C$17</definedName>
    <definedName name="CM_iscc_source" localSheetId="5">Windows_trace!$C$17</definedName>
    <definedName name="CM_mclients" localSheetId="6">Linux_all!$C$29</definedName>
    <definedName name="CM_mclients" localSheetId="7">Linux_trace!$C$29</definedName>
    <definedName name="CM_mclients" localSheetId="4">Windows_all!$C$29</definedName>
    <definedName name="CM_mclients" localSheetId="5">Windows_trace!$C$29</definedName>
    <definedName name="CM_monitor" localSheetId="6">Linux_all!$C$13</definedName>
    <definedName name="CM_monitor" localSheetId="7">Linux_trace!$C$13</definedName>
    <definedName name="CM_monitor" localSheetId="4">Windows_all!$C$13</definedName>
    <definedName name="CM_monitor" localSheetId="5">Windows_trace!$C$13</definedName>
    <definedName name="CM_predictive_merge" localSheetId="6">Linux_all!$C$15</definedName>
    <definedName name="CM_predictive_merge" localSheetId="7">Linux_trace!$C$15</definedName>
    <definedName name="CM_predictive_merge" localSheetId="4">Windows_all!$C$15</definedName>
    <definedName name="CM_predictive_merge" localSheetId="5">Windows_trace!$C$15</definedName>
    <definedName name="CM_predictive_route" localSheetId="6">Linux_all!$C$14</definedName>
    <definedName name="CM_predictive_route" localSheetId="7">Linux_trace!$C$14</definedName>
    <definedName name="CM_predictive_route" localSheetId="4">Windows_all!$C$14</definedName>
    <definedName name="CM_predictive_route" localSheetId="5">Windows_trace!$C$14</definedName>
    <definedName name="CM_Record" localSheetId="6">Linux_all!$C$6</definedName>
    <definedName name="CM_Record" localSheetId="7">Linux_trace!$C$6</definedName>
    <definedName name="CM_record" localSheetId="4">Windows_all!$C$6</definedName>
    <definedName name="CM_record" localSheetId="5">Windows_trace!$C$6</definedName>
    <definedName name="CM_Redirect" localSheetId="6">Linux_all!$C$16</definedName>
    <definedName name="CM_Redirect" localSheetId="7">Linux_trace!$C$16</definedName>
    <definedName name="CM_Redirect" localSheetId="4">Windows_all!$C$16</definedName>
    <definedName name="CM_Redirect" localSheetId="5">Windows_trace!$C$16</definedName>
    <definedName name="CM_treatment" localSheetId="6">Linux_all!$C$11</definedName>
    <definedName name="CM_treatment" localSheetId="7">Linux_trace!$C$11</definedName>
    <definedName name="CM_treatment" localSheetId="4">Windows_all!$C$11</definedName>
    <definedName name="CM_treatment" localSheetId="5">Windows_trace!$C$11</definedName>
    <definedName name="CM_treatment_next" localSheetId="6">Linux_all!$C$12</definedName>
    <definedName name="CM_treatment_next" localSheetId="7">Linux_trace!$C$12</definedName>
    <definedName name="CM_treatment_next" localSheetId="4">Windows_all!$C$12</definedName>
    <definedName name="CM_treatment_next" localSheetId="5">Windows_trace!$C$12</definedName>
    <definedName name="CM_update" localSheetId="6">Linux_all!$C$24</definedName>
    <definedName name="CM_update" localSheetId="7">Linux_trace!$C$24</definedName>
    <definedName name="CM_update" localSheetId="4">Windows_all!$C$24</definedName>
    <definedName name="CM_update" localSheetId="5">Windows_trace!$C$24</definedName>
    <definedName name="CM_vqdata" localSheetId="6">Linux_all!$C$32</definedName>
    <definedName name="CM_vqdata" localSheetId="7">Linux_trace!$C$32</definedName>
    <definedName name="CM_vqdata" localSheetId="4">Windows_all!$C$32</definedName>
    <definedName name="CM_vqdata" localSheetId="5">Windows_trace!$C$32</definedName>
    <definedName name="CM_vqrate" localSheetId="6">Linux_all!$C$31</definedName>
    <definedName name="CM_vqrate" localSheetId="7">Linux_trace!$C$31</definedName>
    <definedName name="CM_vqrate" localSheetId="4">Windows_all!$C$31</definedName>
    <definedName name="CM_vqrate" localSheetId="5">Windows_trace!$C$31</definedName>
    <definedName name="E_size" localSheetId="8">Network!$G$4</definedName>
    <definedName name="MAX_concur" localSheetId="6">Linux_all!$B$22</definedName>
    <definedName name="MAX_concur" localSheetId="7">Linux_trace!$B$22</definedName>
    <definedName name="MAX_concur" localSheetId="4">Windows_all!$B$22</definedName>
    <definedName name="MAX_concur" localSheetId="5">Windows_trace!$B$22</definedName>
    <definedName name="MT_1confr" localSheetId="6">Linux_all!$B$7</definedName>
    <definedName name="MT_1confr" localSheetId="7">Linux_trace!$B$7</definedName>
    <definedName name="MT_1confr" localSheetId="4">Windows_all!$B$7</definedName>
    <definedName name="MT_1confr" localSheetId="5">Windows_trace!$B$7</definedName>
    <definedName name="MT_1xfer" localSheetId="6">Linux_all!$B$4</definedName>
    <definedName name="MT_1xfer" localSheetId="7">Linux_trace!$B$4</definedName>
    <definedName name="MT_1xfer" localSheetId="4">Windows_all!$B$4</definedName>
    <definedName name="MT_1xfer" localSheetId="5">Windows_trace!$B$4</definedName>
    <definedName name="MT_2confr" localSheetId="6">Linux_all!$B$8</definedName>
    <definedName name="MT_2confr" localSheetId="7">Linux_trace!$B$8</definedName>
    <definedName name="MT_2confr" localSheetId="4">Windows_all!$B$8</definedName>
    <definedName name="MT_2confr" localSheetId="5">Windows_trace!$B$8</definedName>
    <definedName name="MT_2xfer" localSheetId="6">Linux_all!$B$5</definedName>
    <definedName name="MT_2xfer" localSheetId="7">Linux_trace!$B$5</definedName>
    <definedName name="MT_2xfer" localSheetId="4">Windows_all!$B$5</definedName>
    <definedName name="MT_2xfer" localSheetId="5">Windows_trace!$B$5</definedName>
    <definedName name="MT_aclients" localSheetId="6">Linux_all!$B$27</definedName>
    <definedName name="MT_aclients" localSheetId="7">Linux_trace!$B$27</definedName>
    <definedName name="MT_aclients" localSheetId="4">Windows_all!$B$27</definedName>
    <definedName name="MT_aclients" localSheetId="5">Windows_trace!$B$27</definedName>
    <definedName name="MT_attach" localSheetId="6">Linux_all!$B$25</definedName>
    <definedName name="MT_attach" localSheetId="7">Linux_trace!$B$25</definedName>
    <definedName name="MT_attach" localSheetId="4">Windows_all!$B$25</definedName>
    <definedName name="MT_attach" localSheetId="5">Windows_trace!$B$25</definedName>
    <definedName name="MT_consult" localSheetId="6">Linux_all!$B$9</definedName>
    <definedName name="MT_consult" localSheetId="7">Linux_trace!$B$9</definedName>
    <definedName name="MT_consult" localSheetId="4">Windows_all!$B$9</definedName>
    <definedName name="MT_consult" localSheetId="5">Windows_trace!$B$9</definedName>
    <definedName name="MT_inbound" localSheetId="6">Linux_all!$B$3</definedName>
    <definedName name="MT_inbound" localSheetId="7">Linux_trace!$B$3</definedName>
    <definedName name="MT_inbound" localSheetId="4">Windows_all!$B$3</definedName>
    <definedName name="MT_inbound" localSheetId="5">Windows_trace!$B$3</definedName>
    <definedName name="MT_intern" localSheetId="6">Linux_all!$B$10</definedName>
    <definedName name="MT_intern" localSheetId="7">Linux_trace!$B$10</definedName>
    <definedName name="MT_intern" localSheetId="4">Windows_all!$B$10</definedName>
    <definedName name="MT_intern" localSheetId="5">Windows_trace!$B$10</definedName>
    <definedName name="MT_iscc_directUUI" localSheetId="6">Linux_all!$B$18</definedName>
    <definedName name="MT_iscc_directUUI" localSheetId="7">Linux_trace!$B$18</definedName>
    <definedName name="MT_iscc_directUUI" localSheetId="4">Windows_all!$B$18</definedName>
    <definedName name="MT_iscc_directUUI" localSheetId="5">Windows_trace!$B$18</definedName>
    <definedName name="MT_iscc_route" localSheetId="6">Linux_all!$B$19</definedName>
    <definedName name="MT_iscc_route" localSheetId="7">Linux_trace!$B$19</definedName>
    <definedName name="MT_iscc_route" localSheetId="4">Windows_all!$B$19</definedName>
    <definedName name="MT_iscc_route" localSheetId="5">Windows_trace!$B$19</definedName>
    <definedName name="MT_iscc_source" localSheetId="6">Linux_all!$B$17</definedName>
    <definedName name="MT_iscc_source" localSheetId="7">Linux_trace!$B$17</definedName>
    <definedName name="MT_iscc_source" localSheetId="4">Windows_all!$B$17</definedName>
    <definedName name="MT_iscc_source" localSheetId="5">Windows_trace!$B$17</definedName>
    <definedName name="MT_mclients" localSheetId="6">Linux_all!$B$29</definedName>
    <definedName name="MT_mclients" localSheetId="7">Linux_trace!$B$29</definedName>
    <definedName name="MT_mclients" localSheetId="4">Windows_all!$B$29</definedName>
    <definedName name="MT_mclients" localSheetId="5">Windows_trace!$B$29</definedName>
    <definedName name="MT_monitor" localSheetId="6">Linux_all!$B$13</definedName>
    <definedName name="MT_monitor" localSheetId="7">Linux_trace!$B$13</definedName>
    <definedName name="MT_monitor" localSheetId="4">Windows_all!$B$13</definedName>
    <definedName name="MT_monitor" localSheetId="5">Windows_trace!$B$13</definedName>
    <definedName name="MT_predictive_merge" localSheetId="6">Linux_all!$B$15</definedName>
    <definedName name="MT_predictive_merge" localSheetId="7">Linux_trace!$B$15</definedName>
    <definedName name="MT_predictive_merge" localSheetId="4">Windows_all!$B$15</definedName>
    <definedName name="MT_predictive_merge" localSheetId="5">Windows_trace!$B$15</definedName>
    <definedName name="MT_predictive_route" localSheetId="6">Linux_all!$B$14</definedName>
    <definedName name="MT_predictive_route" localSheetId="7">Linux_trace!$B$14</definedName>
    <definedName name="MT_predictive_route" localSheetId="4">Windows_all!$B$14</definedName>
    <definedName name="MT_predictive_route" localSheetId="5">Windows_trace!$B$14</definedName>
    <definedName name="MT_record" localSheetId="6">Linux_all!$B$6</definedName>
    <definedName name="MT_record" localSheetId="7">Linux_trace!$B$6</definedName>
    <definedName name="MT_record" localSheetId="4">Windows_all!$B$6</definedName>
    <definedName name="MT_record" localSheetId="5">Windows_trace!$B$6</definedName>
    <definedName name="MT_Redirect" localSheetId="6">Linux_all!$B$16</definedName>
    <definedName name="MT_Redirect" localSheetId="7">Linux_trace!$B$16</definedName>
    <definedName name="MT_Redirect" localSheetId="4">Windows_all!$B$16</definedName>
    <definedName name="MT_Redirect" localSheetId="5">Windows_trace!$B$16</definedName>
    <definedName name="MT_treatment" localSheetId="6">Linux_all!$B$11</definedName>
    <definedName name="MT_treatment" localSheetId="7">Linux_trace!$B$11</definedName>
    <definedName name="MT_treatment" localSheetId="4">Windows_all!$B$11</definedName>
    <definedName name="MT_treatment" localSheetId="5">Windows_trace!$B$11</definedName>
    <definedName name="MT_treatment_next" localSheetId="6">Linux_all!$B$12</definedName>
    <definedName name="MT_treatment_next" localSheetId="7">Linux_trace!$B$12</definedName>
    <definedName name="MT_treatment_next" localSheetId="4">Windows_all!$B$12</definedName>
    <definedName name="MT_treatment_next" localSheetId="5">Windows_trace!$B$12</definedName>
    <definedName name="MT_update" localSheetId="6">Linux_all!$B$24</definedName>
    <definedName name="MT_update" localSheetId="7">Linux_trace!$B$24</definedName>
    <definedName name="MT_update" localSheetId="4">Windows_all!$B$24</definedName>
    <definedName name="MT_update" localSheetId="5">Windows_trace!$B$24</definedName>
    <definedName name="MT_vqdata" localSheetId="6">Linux_all!$B$32</definedName>
    <definedName name="MT_vqdata" localSheetId="7">Linux_trace!$B$32</definedName>
    <definedName name="MT_vqdata" localSheetId="4">Windows_all!$B$32</definedName>
    <definedName name="MT_vqdata" localSheetId="5">Windows_trace!$B$32</definedName>
    <definedName name="MT_vqrate" localSheetId="6">Linux_all!$B$31</definedName>
    <definedName name="MT_vqrate" localSheetId="7">Linux_trace!$B$31</definedName>
    <definedName name="MT_vqrate" localSheetId="4">Windows_all!$B$31</definedName>
    <definedName name="MT_vqrate" localSheetId="5">Windows_trace!$B$31</definedName>
    <definedName name="NSIP_1confr" localSheetId="8">Network!$B$8</definedName>
    <definedName name="NSIP_1xfer" localSheetId="8">Network!$B$5</definedName>
    <definedName name="NSIP_2confr" localSheetId="8">Network!$B$9</definedName>
    <definedName name="NSIP_2xfer" localSheetId="8">Network!$B$6</definedName>
    <definedName name="NSIP_consult" localSheetId="8">Network!$B$10</definedName>
    <definedName name="NSIP_inbound" localSheetId="8">Network!$B$4</definedName>
    <definedName name="NSIP_intern" localSheetId="8">Network!$B$11</definedName>
    <definedName name="NSIP_monitor" localSheetId="8">Network!$B$14</definedName>
    <definedName name="NSIP_predictive_merge" localSheetId="8">Network!$B$16</definedName>
    <definedName name="NSIP_predictive_route" localSheetId="8">Network!$B$15</definedName>
    <definedName name="NSIP_record" localSheetId="8">Network!$B$7</definedName>
    <definedName name="NSIP_Redirect" localSheetId="8">Network!$B$17</definedName>
    <definedName name="NSIP_treatment" localSheetId="8">Network!$B$12</definedName>
    <definedName name="NSIP_treatment_next" localSheetId="8">Network!$B$13</definedName>
    <definedName name="NTlib_1confr" localSheetId="8">Network!$D$8</definedName>
    <definedName name="NTlib_1xfer" localSheetId="8">Network!$D$5</definedName>
    <definedName name="NTlib_2confr" localSheetId="8">Network!$D$9</definedName>
    <definedName name="NTlib_2xfer" localSheetId="8">Network!$D$6</definedName>
    <definedName name="NTlib_consult" localSheetId="8">Network!$D$10</definedName>
    <definedName name="NTlib_data" localSheetId="8">Network!$D$19</definedName>
    <definedName name="NTlib_inbound" localSheetId="8">Network!$D$4</definedName>
    <definedName name="NTlib_intern" localSheetId="8">Network!$D$11</definedName>
    <definedName name="NTLib_ISCC" localSheetId="8">Network!$D$18</definedName>
    <definedName name="NTlib_monitor" localSheetId="8">Network!$D$14</definedName>
    <definedName name="NTlib_predictive_merge" localSheetId="8">Network!$D$16</definedName>
    <definedName name="NTlib_predictive_route" localSheetId="8">Network!$D$15</definedName>
    <definedName name="NTlib_record" localSheetId="8">Network!$D$7</definedName>
    <definedName name="NTlib_Redirect" localSheetId="8">Network!$D$17</definedName>
    <definedName name="NTlib_treatment" localSheetId="8">Network!$D$12</definedName>
    <definedName name="NTlib_treatment_next" localSheetId="8">Network!$D$13</definedName>
    <definedName name="platform" localSheetId="3">'Input&amp;Calculation (Redirect)'!$C$5</definedName>
    <definedName name="platform" comment="SIP Server OS platform">'Input&amp;Calculation'!$C$5</definedName>
    <definedName name="PR_1confr" localSheetId="6">Linux_all!$E$7</definedName>
    <definedName name="PR_1confr" localSheetId="7">Linux_trace!$E$7</definedName>
    <definedName name="PR_1confr" localSheetId="4">Windows_all!$E$7</definedName>
    <definedName name="PR_1confr" localSheetId="5">Windows_trace!$E$7</definedName>
    <definedName name="PR_1xfer" localSheetId="6">Linux_all!$E$4</definedName>
    <definedName name="PR_1xfer" localSheetId="7">Linux_trace!$E$4</definedName>
    <definedName name="PR_1xfer" localSheetId="4">Windows_all!$E$4</definedName>
    <definedName name="PR_1xfer" localSheetId="5">Windows_trace!$E$4</definedName>
    <definedName name="PR_2confr" localSheetId="6">Linux_all!$E$8</definedName>
    <definedName name="PR_2confr" localSheetId="7">Linux_trace!$E$8</definedName>
    <definedName name="PR_2confr" localSheetId="4">Windows_all!$E$8</definedName>
    <definedName name="PR_2confr" localSheetId="5">Windows_trace!$E$8</definedName>
    <definedName name="PR_2xfer" localSheetId="6">Linux_all!$E$5</definedName>
    <definedName name="PR_2xfer" localSheetId="7">Linux_trace!$E$5</definedName>
    <definedName name="PR_2xfer" localSheetId="4">Windows_all!$E$5</definedName>
    <definedName name="PR_2xfer" localSheetId="5">Windows_trace!$E$5</definedName>
    <definedName name="PR_consult" localSheetId="6">Linux_all!$E$9</definedName>
    <definedName name="PR_consult" localSheetId="7">Linux_trace!$E$9</definedName>
    <definedName name="PR_consult" localSheetId="4">Windows_all!$E$9</definedName>
    <definedName name="PR_consult" localSheetId="5">Windows_trace!$E$9</definedName>
    <definedName name="PR_inbound" localSheetId="6">Linux_all!$E$3</definedName>
    <definedName name="PR_inbound" localSheetId="7">Linux_trace!$E$3</definedName>
    <definedName name="PR_inbound" localSheetId="4">Windows_all!$E$3</definedName>
    <definedName name="PR_inbound" localSheetId="5">Windows_trace!$E$3</definedName>
    <definedName name="PR_intern" localSheetId="6">Linux_all!$E$10</definedName>
    <definedName name="PR_intern" localSheetId="7">Linux_trace!$E$10</definedName>
    <definedName name="PR_intern" localSheetId="4">Windows_all!$E$10</definedName>
    <definedName name="PR_intern" localSheetId="5">Windows_trace!$E$10</definedName>
    <definedName name="PR_monitor" localSheetId="6">Linux_all!$E$13</definedName>
    <definedName name="PR_monitor" localSheetId="7">Linux_trace!$E$13</definedName>
    <definedName name="PR_monitor" localSheetId="4">Windows_all!$E$13</definedName>
    <definedName name="PR_monitor" localSheetId="5">Windows_trace!$E$13</definedName>
    <definedName name="PR_predictive_merge" localSheetId="6">Linux_all!$E$15</definedName>
    <definedName name="PR_predictive_merge" localSheetId="7">Linux_trace!$E$15</definedName>
    <definedName name="PR_predictive_merge" localSheetId="4">Windows_all!$E$15</definedName>
    <definedName name="PR_predictive_merge" localSheetId="5">Windows_trace!$E$15</definedName>
    <definedName name="PR_predictive_route" localSheetId="6">Linux_all!$E$14</definedName>
    <definedName name="PR_predictive_route" localSheetId="7">Linux_trace!$E$14</definedName>
    <definedName name="PR_predictive_route" localSheetId="4">Windows_all!$E$14</definedName>
    <definedName name="PR_predictive_route" localSheetId="5">Windows_trace!$E$14</definedName>
    <definedName name="PR_Record" localSheetId="6">Linux_all!$E$6</definedName>
    <definedName name="PR_record" localSheetId="7">Linux_trace!$E$6</definedName>
    <definedName name="PR_record" localSheetId="4">Windows_all!$E$6</definedName>
    <definedName name="PR_record" localSheetId="5">Windows_trace!$E$6</definedName>
    <definedName name="PR_treatment" localSheetId="6">Linux_all!$E$11</definedName>
    <definedName name="PR_treatment" localSheetId="7">Linux_trace!$E$11</definedName>
    <definedName name="PR_treatment" localSheetId="4">Windows_all!$E$11</definedName>
    <definedName name="PR_treatment" localSheetId="5">Windows_trace!$E$11</definedName>
    <definedName name="PR_treatment_next" localSheetId="6">Linux_all!$E$12</definedName>
    <definedName name="PR_treatment_next" localSheetId="7">Linux_trace!$E$12</definedName>
    <definedName name="PR_treatment_next" localSheetId="4">Windows_all!$E$12</definedName>
    <definedName name="PR_treatment_next" localSheetId="5">Windows_trace!$E$12</definedName>
    <definedName name="R_size" localSheetId="8">Network!$F$4</definedName>
    <definedName name="ST_1confr" localSheetId="6">Linux_all!$D$7</definedName>
    <definedName name="ST_1confr" localSheetId="7">Linux_trace!$D$7</definedName>
    <definedName name="ST_1confr" localSheetId="4">Windows_all!$D$7</definedName>
    <definedName name="ST_1confr" localSheetId="5">Windows_trace!$D$7</definedName>
    <definedName name="ST_1xfer" localSheetId="6">Linux_all!$D$4</definedName>
    <definedName name="ST_1xfer" localSheetId="7">Linux_trace!$D$4</definedName>
    <definedName name="ST_1xfer" localSheetId="4">Windows_all!$D$4</definedName>
    <definedName name="ST_1xfer" localSheetId="5">Windows_trace!$D$4</definedName>
    <definedName name="ST_2confr" localSheetId="6">Linux_all!$D$8</definedName>
    <definedName name="ST_2confr" localSheetId="7">Linux_trace!$D$8</definedName>
    <definedName name="ST_2confr" localSheetId="4">Windows_all!$D$8</definedName>
    <definedName name="ST_2confr" localSheetId="5">Windows_trace!$D$8</definedName>
    <definedName name="ST_2xfer" localSheetId="6">Linux_all!$D$5</definedName>
    <definedName name="ST_2xfer" localSheetId="7">Linux_trace!$D$5</definedName>
    <definedName name="ST_2xfer" localSheetId="4">Windows_all!$D$5</definedName>
    <definedName name="ST_2xfer" localSheetId="5">Windows_trace!$D$5</definedName>
    <definedName name="ST_aclients" localSheetId="6">Linux_all!$D$27</definedName>
    <definedName name="ST_aclients" localSheetId="7">Linux_trace!$D$27</definedName>
    <definedName name="ST_aclients" localSheetId="4">Windows_all!$D$27</definedName>
    <definedName name="ST_aclients" localSheetId="5">Windows_trace!$D$27</definedName>
    <definedName name="ST_attach" localSheetId="6">Linux_all!$D$25</definedName>
    <definedName name="ST_attach" localSheetId="7">Linux_trace!$D$25</definedName>
    <definedName name="ST_attach" localSheetId="4">Windows_all!$D$25</definedName>
    <definedName name="ST_attach" localSheetId="5">Windows_trace!$D$25</definedName>
    <definedName name="ST_consult" localSheetId="6">Linux_all!$D$9</definedName>
    <definedName name="ST_consult" localSheetId="7">Linux_trace!$D$9</definedName>
    <definedName name="ST_consult" localSheetId="4">Windows_all!$D$9</definedName>
    <definedName name="ST_consult" localSheetId="5">Windows_trace!$D$9</definedName>
    <definedName name="ST_inbound" localSheetId="6">Linux_all!$D$3</definedName>
    <definedName name="ST_inbound" localSheetId="7">Linux_trace!$D$3</definedName>
    <definedName name="ST_inbound" localSheetId="4">Windows_all!$D$3</definedName>
    <definedName name="ST_inbound" localSheetId="5">Windows_trace!$D$3</definedName>
    <definedName name="ST_intern" localSheetId="6">Linux_all!$D$10</definedName>
    <definedName name="ST_intern" localSheetId="7">Linux_trace!$D$10</definedName>
    <definedName name="ST_intern" localSheetId="4">Windows_all!$D$10</definedName>
    <definedName name="ST_intern" localSheetId="5">Windows_trace!$D$10</definedName>
    <definedName name="ST_iscc_directUUI" localSheetId="6">Linux_all!$D$18</definedName>
    <definedName name="ST_iscc_directUUI" localSheetId="7">Linux_trace!$D$18</definedName>
    <definedName name="ST_iscc_directUUI" localSheetId="4">Windows_all!$D$18</definedName>
    <definedName name="ST_iscc_directUUI" localSheetId="5">Windows_trace!$D$18</definedName>
    <definedName name="ST_iscc_route" localSheetId="6">Linux_all!$D$19</definedName>
    <definedName name="ST_iscc_route" localSheetId="7">Linux_trace!$D$19</definedName>
    <definedName name="ST_iscc_route" localSheetId="4">Windows_all!$D$19</definedName>
    <definedName name="ST_iscc_route" localSheetId="5">Windows_trace!$D$19</definedName>
    <definedName name="ST_iscc_source" localSheetId="6">Linux_all!$D$17</definedName>
    <definedName name="ST_iscc_source" localSheetId="7">Linux_trace!$D$17</definedName>
    <definedName name="ST_iscc_source" localSheetId="4">Windows_all!$D$17</definedName>
    <definedName name="ST_iscc_source" localSheetId="5">Windows_trace!$D$17</definedName>
    <definedName name="ST_mclients" localSheetId="6">Linux_all!$D$29</definedName>
    <definedName name="ST_mclients" localSheetId="7">Linux_trace!$D$29</definedName>
    <definedName name="ST_mclients" localSheetId="4">Windows_all!$D$29</definedName>
    <definedName name="ST_mclients" localSheetId="5">Windows_trace!$D$29</definedName>
    <definedName name="ST_monitor" localSheetId="6">Linux_all!$D$13</definedName>
    <definedName name="ST_monitor" localSheetId="7">Linux_trace!$D$13</definedName>
    <definedName name="ST_monitor" localSheetId="4">Windows_all!$D$13</definedName>
    <definedName name="ST_monitor" localSheetId="5">Windows_trace!$D$13</definedName>
    <definedName name="ST_predictive_merge" localSheetId="6">Linux_all!$D$15</definedName>
    <definedName name="ST_predictive_merge" localSheetId="7">Linux_trace!$D$15</definedName>
    <definedName name="ST_predictive_merge" localSheetId="4">Windows_all!$D$15</definedName>
    <definedName name="ST_predictive_merge" localSheetId="5">Windows_trace!$D$15</definedName>
    <definedName name="ST_predictive_route" localSheetId="6">Linux_all!$D$14</definedName>
    <definedName name="ST_predictive_route" localSheetId="7">Linux_trace!$D$14</definedName>
    <definedName name="ST_predictive_route" localSheetId="4">Windows_all!$D$14</definedName>
    <definedName name="ST_predictive_route" localSheetId="5">Windows_trace!$D$14</definedName>
    <definedName name="ST_Record" localSheetId="6">Linux_all!$D$6</definedName>
    <definedName name="ST_record" localSheetId="7">Linux_trace!$D$6</definedName>
    <definedName name="ST_record" localSheetId="4">Windows_all!$D$6</definedName>
    <definedName name="ST_record" localSheetId="5">Windows_trace!$D$6</definedName>
    <definedName name="ST_Redirect" localSheetId="6">Linux_all!$D$16</definedName>
    <definedName name="ST_Redirect" localSheetId="7">Linux_trace!$D$16</definedName>
    <definedName name="ST_Redirect" localSheetId="4">Windows_all!$D$16</definedName>
    <definedName name="ST_Redirect" localSheetId="5">Windows_trace!$D$16</definedName>
    <definedName name="ST_treatment" localSheetId="6">Linux_all!$D$11</definedName>
    <definedName name="ST_treatment" localSheetId="7">Linux_trace!$D$11</definedName>
    <definedName name="ST_treatment" localSheetId="4">Windows_all!$D$11</definedName>
    <definedName name="ST_treatment" localSheetId="5">Windows_trace!$D$11</definedName>
    <definedName name="ST_treatment_next" localSheetId="6">Linux_all!$D$12</definedName>
    <definedName name="ST_treatment_next" localSheetId="7">Linux_trace!$D$12</definedName>
    <definedName name="ST_treatment_next" localSheetId="4">Windows_all!$D$12</definedName>
    <definedName name="ST_treatment_next" localSheetId="5">Windows_trace!$D$12</definedName>
    <definedName name="ST_update" localSheetId="6">Linux_all!$D$24</definedName>
    <definedName name="ST_update" localSheetId="7">Linux_trace!$D$24</definedName>
    <definedName name="ST_update" localSheetId="4">Windows_all!$D$24</definedName>
    <definedName name="ST_update" localSheetId="5">Windows_trace!$D$24</definedName>
    <definedName name="ST_vqdata" localSheetId="6">Linux_all!$D$32</definedName>
    <definedName name="ST_vqdata" localSheetId="7">Linux_trace!$D$32</definedName>
    <definedName name="ST_vqdata" localSheetId="4">Windows_all!$D$32</definedName>
    <definedName name="ST_vqdata" localSheetId="5">Windows_trace!$D$32</definedName>
    <definedName name="ST_vqrate" localSheetId="6">Linux_all!$D$31</definedName>
    <definedName name="ST_vqrate" localSheetId="7">Linux_trace!$D$31</definedName>
    <definedName name="ST_vqrate" localSheetId="4">Windows_all!$D$31</definedName>
    <definedName name="ST_vqrate" localSheetId="5">Windows_trace!$D$31</definedName>
  </definedNames>
  <calcPr calcId="152511" concurrentCalc="0"/>
</workbook>
</file>

<file path=xl/calcChain.xml><?xml version="1.0" encoding="utf-8"?>
<calcChain xmlns="http://schemas.openxmlformats.org/spreadsheetml/2006/main">
  <c r="C80" i="3" l="1"/>
  <c r="D17" i="12"/>
  <c r="E80" i="3"/>
  <c r="D80" i="3"/>
  <c r="F80" i="3"/>
  <c r="C41" i="15"/>
  <c r="C37" i="15"/>
  <c r="D41" i="15"/>
  <c r="E41" i="15"/>
  <c r="F41" i="15"/>
  <c r="C43" i="15"/>
  <c r="J17" i="15"/>
  <c r="H54" i="15"/>
  <c r="H57" i="15"/>
  <c r="C45" i="15"/>
  <c r="C44" i="15"/>
  <c r="E43" i="15"/>
  <c r="D43" i="15"/>
  <c r="D44" i="15"/>
  <c r="E44" i="15"/>
  <c r="E45" i="15"/>
  <c r="E47" i="15"/>
  <c r="J15" i="15"/>
  <c r="I7" i="15"/>
  <c r="C50" i="3"/>
  <c r="J21" i="3"/>
  <c r="D25" i="8"/>
  <c r="D24" i="8"/>
  <c r="D45" i="15"/>
  <c r="C48" i="3"/>
  <c r="E51" i="15"/>
  <c r="D47" i="15"/>
  <c r="I7" i="3"/>
  <c r="C57" i="3"/>
  <c r="G57" i="3"/>
  <c r="D51" i="15"/>
  <c r="D57" i="3"/>
  <c r="E54" i="15"/>
  <c r="H57" i="3"/>
  <c r="E57" i="3"/>
  <c r="E57" i="15"/>
  <c r="J10" i="15"/>
  <c r="G58" i="3"/>
  <c r="G56" i="3"/>
  <c r="G55" i="3"/>
  <c r="G54" i="3"/>
  <c r="C58" i="3"/>
  <c r="C45" i="3"/>
  <c r="D5" i="12"/>
  <c r="D6" i="12"/>
  <c r="D7" i="12"/>
  <c r="D8" i="12"/>
  <c r="D9" i="12"/>
  <c r="D10" i="12"/>
  <c r="D11" i="12"/>
  <c r="D12" i="12"/>
  <c r="D13" i="12"/>
  <c r="D14" i="12"/>
  <c r="D15" i="12"/>
  <c r="D16" i="12"/>
  <c r="D18" i="12"/>
  <c r="J18" i="15"/>
  <c r="D19" i="12"/>
  <c r="D4" i="12"/>
  <c r="D4" i="10"/>
  <c r="D5" i="10"/>
  <c r="D6" i="10"/>
  <c r="D7" i="10"/>
  <c r="D8" i="10"/>
  <c r="D9" i="10"/>
  <c r="D10" i="10"/>
  <c r="D11" i="10"/>
  <c r="D12" i="10"/>
  <c r="D13" i="10"/>
  <c r="D14" i="10"/>
  <c r="D15" i="10"/>
  <c r="D17" i="10"/>
  <c r="D18" i="10"/>
  <c r="D19" i="10"/>
  <c r="D3" i="10"/>
  <c r="D24" i="10"/>
  <c r="D25" i="10"/>
  <c r="D27" i="10"/>
  <c r="D27" i="11"/>
  <c r="D25" i="11"/>
  <c r="D24" i="11"/>
  <c r="D4" i="11"/>
  <c r="D5" i="11"/>
  <c r="D6" i="11"/>
  <c r="D7" i="11"/>
  <c r="D8" i="11"/>
  <c r="D9" i="11"/>
  <c r="D10" i="11"/>
  <c r="D11" i="11"/>
  <c r="D12" i="11"/>
  <c r="D13" i="11"/>
  <c r="D14" i="11"/>
  <c r="D15" i="11"/>
  <c r="D17" i="11"/>
  <c r="D18" i="11"/>
  <c r="D19" i="11"/>
  <c r="D3" i="11"/>
  <c r="D25" i="9"/>
  <c r="D24" i="9"/>
  <c r="D4" i="9"/>
  <c r="D5" i="9"/>
  <c r="D6" i="9"/>
  <c r="D7" i="9"/>
  <c r="D8" i="9"/>
  <c r="D9" i="9"/>
  <c r="D10" i="9"/>
  <c r="D11" i="9"/>
  <c r="D12" i="9"/>
  <c r="D13" i="9"/>
  <c r="D14" i="9"/>
  <c r="D15" i="9"/>
  <c r="D17" i="9"/>
  <c r="D18" i="9"/>
  <c r="D19" i="9"/>
  <c r="D3" i="9"/>
  <c r="C56" i="3"/>
  <c r="C55" i="3"/>
  <c r="E56" i="3"/>
  <c r="H58" i="3"/>
  <c r="D56" i="3"/>
  <c r="D54" i="15"/>
  <c r="D58" i="3"/>
  <c r="H54" i="3"/>
  <c r="E55" i="3"/>
  <c r="H56" i="3"/>
  <c r="E58" i="3"/>
  <c r="H55" i="3"/>
  <c r="C46" i="3"/>
  <c r="D55" i="3"/>
  <c r="D57" i="15"/>
  <c r="J9" i="15"/>
  <c r="C59" i="15"/>
  <c r="J4" i="15"/>
  <c r="J20" i="3"/>
  <c r="G64" i="3"/>
  <c r="G66" i="3"/>
  <c r="G67" i="3"/>
  <c r="G59" i="3"/>
  <c r="G60" i="3"/>
  <c r="G61" i="3"/>
  <c r="G62" i="3"/>
  <c r="G63" i="3"/>
  <c r="G65" i="3"/>
  <c r="C54" i="3"/>
  <c r="D27" i="8"/>
  <c r="D7" i="8"/>
  <c r="D14" i="8"/>
  <c r="D15" i="8"/>
  <c r="D17" i="8"/>
  <c r="D18" i="8"/>
  <c r="D19" i="8"/>
  <c r="D4" i="8"/>
  <c r="D5" i="8"/>
  <c r="D6" i="8"/>
  <c r="D8" i="8"/>
  <c r="D9" i="8"/>
  <c r="D10" i="8"/>
  <c r="D11" i="8"/>
  <c r="D12" i="8"/>
  <c r="D13" i="8"/>
  <c r="D3" i="8"/>
  <c r="F45" i="15"/>
  <c r="F55" i="3"/>
  <c r="H61" i="3"/>
  <c r="H63" i="3"/>
  <c r="F57" i="3"/>
  <c r="H59" i="3"/>
  <c r="F56" i="3"/>
  <c r="H66" i="3"/>
  <c r="H62" i="3"/>
  <c r="H67" i="3"/>
  <c r="F44" i="15"/>
  <c r="H64" i="3"/>
  <c r="D54" i="3"/>
  <c r="F43" i="15"/>
  <c r="F54" i="3"/>
  <c r="H60" i="3"/>
  <c r="E54" i="3"/>
  <c r="F58" i="3"/>
  <c r="H65" i="3"/>
  <c r="F47" i="15"/>
  <c r="H72" i="3"/>
  <c r="C63" i="3"/>
  <c r="C67" i="3"/>
  <c r="C64" i="3"/>
  <c r="C61" i="3"/>
  <c r="C62" i="3"/>
  <c r="C59" i="3"/>
  <c r="C60" i="3"/>
  <c r="C65" i="3"/>
  <c r="C66" i="3"/>
  <c r="C69" i="3"/>
  <c r="C70" i="3"/>
  <c r="C68" i="3"/>
  <c r="C47" i="3"/>
  <c r="D62" i="3"/>
  <c r="F62" i="3"/>
  <c r="E59" i="3"/>
  <c r="F59" i="3"/>
  <c r="E61" i="3"/>
  <c r="E63" i="3"/>
  <c r="F63" i="3"/>
  <c r="F65" i="3"/>
  <c r="D61" i="3"/>
  <c r="D68" i="3"/>
  <c r="D69" i="3"/>
  <c r="D59" i="3"/>
  <c r="F69" i="3"/>
  <c r="D70" i="3"/>
  <c r="E65" i="3"/>
  <c r="E69" i="3"/>
  <c r="F67" i="3"/>
  <c r="F70" i="3"/>
  <c r="F51" i="15"/>
  <c r="E64" i="3"/>
  <c r="E66" i="3"/>
  <c r="E68" i="3"/>
  <c r="F60" i="3"/>
  <c r="E60" i="3"/>
  <c r="D67" i="3"/>
  <c r="D65" i="3"/>
  <c r="F61" i="3"/>
  <c r="D64" i="3"/>
  <c r="E62" i="3"/>
  <c r="F68" i="3"/>
  <c r="D63" i="3"/>
  <c r="F66" i="3"/>
  <c r="F64" i="3"/>
  <c r="D60" i="3"/>
  <c r="D66" i="3"/>
  <c r="J18" i="3"/>
  <c r="F72" i="3"/>
  <c r="D72" i="3"/>
  <c r="J17" i="3"/>
  <c r="E67" i="3"/>
  <c r="E70" i="3"/>
  <c r="F54" i="15"/>
  <c r="E72" i="3"/>
  <c r="C60" i="15"/>
  <c r="J5" i="15"/>
  <c r="F57" i="15"/>
  <c r="J13" i="15"/>
  <c r="H75" i="3"/>
  <c r="H78" i="3"/>
  <c r="D75" i="3"/>
  <c r="H86" i="3"/>
  <c r="H89" i="3"/>
  <c r="D78" i="3"/>
  <c r="E75" i="3"/>
  <c r="F75" i="3"/>
  <c r="D83" i="3"/>
  <c r="J15" i="3"/>
  <c r="E78" i="3"/>
  <c r="E83" i="3"/>
  <c r="F78" i="3"/>
  <c r="D86" i="3"/>
  <c r="E86" i="3"/>
  <c r="F83" i="3"/>
  <c r="E89" i="3"/>
  <c r="J10" i="3"/>
  <c r="D89" i="3"/>
  <c r="F86" i="3"/>
  <c r="J9" i="3"/>
  <c r="C91" i="3"/>
  <c r="J4" i="3"/>
  <c r="F89" i="3"/>
  <c r="J13" i="3"/>
  <c r="C92" i="3"/>
  <c r="J5" i="3"/>
</calcChain>
</file>

<file path=xl/sharedStrings.xml><?xml version="1.0" encoding="utf-8"?>
<sst xmlns="http://schemas.openxmlformats.org/spreadsheetml/2006/main" count="361" uniqueCount="171">
  <si>
    <t>Comments</t>
  </si>
  <si>
    <t xml:space="preserve">CPU Usage per scenario per server </t>
  </si>
  <si>
    <t/>
  </si>
  <si>
    <t>Main Thread</t>
  </si>
  <si>
    <t>Call Manager Thread</t>
  </si>
  <si>
    <t>Max number of concurent calls</t>
  </si>
  <si>
    <t>Single Thread</t>
  </si>
  <si>
    <t>Inbound Call</t>
  </si>
  <si>
    <t>Single-Step Transfer</t>
  </si>
  <si>
    <t>Two-Step Transfer</t>
  </si>
  <si>
    <t>Recording</t>
  </si>
  <si>
    <t>Single-Step Conference</t>
  </si>
  <si>
    <t>Two-Step Conference</t>
  </si>
  <si>
    <t>Consultation Call</t>
  </si>
  <si>
    <t>Internal Call (3pcc)</t>
  </si>
  <si>
    <r>
      <t>Notice:</t>
    </r>
    <r>
      <rPr>
        <sz val="10"/>
        <rFont val="Arial"/>
        <family val="2"/>
      </rPr>
      <t xml:space="preserve"> Although reasonable effort is made to ensure that the information in this document is complete and accurate at the time of release, Genesys Telecommunications Laboratories, Inc., cannot assume responsibility for any existing errors. Changes and/or corrections to the information contained in this document may be incorporated in future versions.</t>
    </r>
  </si>
  <si>
    <r>
      <rPr>
        <b/>
        <sz val="10"/>
        <rFont val="Arial"/>
        <family val="2"/>
      </rPr>
      <t xml:space="preserve">Trademarks: </t>
    </r>
    <r>
      <rPr>
        <sz val="10"/>
        <rFont val="Arial"/>
        <family val="2"/>
      </rPr>
      <t>Genesys, the Genesys logo, and T-Server are registered trademarks of Genesys Telecommunications Laboratories, Inc. All other trademarks and trade names referred to in this document are the property of other companies. The Crystal monospace font is used by permission of Software Renovation Corporation, www.SoftwareRenovation.com.</t>
    </r>
  </si>
  <si>
    <r>
      <rPr>
        <b/>
        <sz val="10"/>
        <rFont val="Arial"/>
        <family val="2"/>
      </rPr>
      <t>Technical Support from VARs:</t>
    </r>
    <r>
      <rPr>
        <sz val="10"/>
        <rFont val="Arial"/>
        <family val="2"/>
      </rPr>
      <t xml:space="preserve"> If you have purchased support from a value-added reseller (VAR), please contact the VAR for technical support.</t>
    </r>
  </si>
  <si>
    <t>Genesys SIP Server Sizing Tool 8.1.1</t>
  </si>
  <si>
    <t>Consultation</t>
  </si>
  <si>
    <t>Treatment (first)</t>
  </si>
  <si>
    <t>Treatment (next)</t>
  </si>
  <si>
    <t>SIP Trafic per call (bytes)</t>
  </si>
  <si>
    <t>Activities</t>
  </si>
  <si>
    <t>Call and Clients Activities</t>
  </si>
  <si>
    <t>Monitoring</t>
  </si>
  <si>
    <t>SIP Proxy</t>
  </si>
  <si>
    <r>
      <rPr>
        <b/>
        <sz val="10"/>
        <rFont val="Arial"/>
        <family val="2"/>
      </rPr>
      <t>Note:</t>
    </r>
    <r>
      <rPr>
        <sz val="10"/>
        <rFont val="Arial"/>
        <family val="2"/>
      </rPr>
      <t xml:space="preserve"> This Sizing Tool provides a framework to evaluate the Genesys SIP Server load and to make the proper hardware choice for it. Click the tabs at the bottom to access a product. </t>
    </r>
  </si>
  <si>
    <t>Updates data adjustment</t>
  </si>
  <si>
    <t>Size data adjustment</t>
  </si>
  <si>
    <t>ISCC Origination</t>
  </si>
  <si>
    <t>ISCC Route</t>
  </si>
  <si>
    <t>Call Rate per SIP Server</t>
  </si>
  <si>
    <t>Type of Activity</t>
  </si>
  <si>
    <t xml:space="preserve">Call Rate per SIP Proxy </t>
  </si>
  <si>
    <t>Predictive</t>
  </si>
  <si>
    <t>ISCC</t>
  </si>
  <si>
    <t>Data Update</t>
  </si>
  <si>
    <t>Average Size of Event</t>
  </si>
  <si>
    <t>Average Size of Request</t>
  </si>
  <si>
    <t>T-Lib Network Traffic (bytes)</t>
  </si>
  <si>
    <t>Predictive ASM</t>
  </si>
  <si>
    <t>ISCC Direct-UUI</t>
  </si>
  <si>
    <t>Windows_all</t>
  </si>
  <si>
    <t xml:space="preserve">Predictive </t>
  </si>
  <si>
    <t>T-Library client connections adjustment (per client)</t>
  </si>
  <si>
    <t xml:space="preserve">T-Library monitoring client  connections adjustment (per client) </t>
  </si>
  <si>
    <t>Linux Platform</t>
  </si>
  <si>
    <t>Windows Platform</t>
  </si>
  <si>
    <r>
      <rPr>
        <b/>
        <sz val="10"/>
        <rFont val="Arial"/>
        <family val="2"/>
      </rPr>
      <t>Customer Care from Genesys:</t>
    </r>
    <r>
      <rPr>
        <sz val="10"/>
        <rFont val="Arial"/>
        <family val="2"/>
      </rPr>
      <t xml:space="preserve"> If you have purchased support directly from Genesys, please contact Genesys Customer Care at the regional numbers provided on the Genesys Customer Care website.</t>
    </r>
  </si>
  <si>
    <t>SIP Server and SIP Proxy Sizing Tool is an Excel Workbook File. It was developed and tested with Microsoft Excel 2007. To open the User's Guide, Microsoft Word 2007 or later must be installed.</t>
  </si>
  <si>
    <t>Treatments (first)</t>
  </si>
  <si>
    <t>Treatments (next)</t>
  </si>
  <si>
    <t>Number of T-Library Requests/Events</t>
  </si>
  <si>
    <t>Call Type</t>
  </si>
  <si>
    <t>Planned # SIP Server HA Pair(s)</t>
  </si>
  <si>
    <t>Average Call Duration (sec)</t>
  </si>
  <si>
    <t>Inbound Calls - Routed</t>
  </si>
  <si>
    <t>Outbound Calls - Routed, Non-Predictive</t>
  </si>
  <si>
    <t>Outbound Calls - Routed, Predictive</t>
  </si>
  <si>
    <t>Planned # SIP Proxies per SIP Server HA Pair</t>
  </si>
  <si>
    <t>Outbound Calls - Routed Non-Predictive</t>
  </si>
  <si>
    <t>Outbound Calls - Routed Predictive</t>
  </si>
  <si>
    <t>Outbound Calls - Routed Predictive ASM</t>
  </si>
  <si>
    <t>Internal Calls - Direct (not routed)</t>
  </si>
  <si>
    <t>Duration of consult call before transfer</t>
  </si>
  <si>
    <t>Duration of consult call before merge into conf</t>
  </si>
  <si>
    <t>Customer Platform -  CPU Benchmark</t>
  </si>
  <si>
    <t>Parameter</t>
  </si>
  <si>
    <t>Value</t>
  </si>
  <si>
    <t>Detailed Call Modeling</t>
  </si>
  <si>
    <t>n/a</t>
  </si>
  <si>
    <t>Capacity Calculations</t>
  </si>
  <si>
    <t>Peak Concurrent calls</t>
  </si>
  <si>
    <t>Operating System &amp; Log Level</t>
  </si>
  <si>
    <t>Peak Call Traffic
(calls per sec)</t>
  </si>
  <si>
    <t>Internal Calls - Direct (non routed)</t>
  </si>
  <si>
    <t>Outbound Calls - Routed, Predictive ASM</t>
  </si>
  <si>
    <t>Main Thread CPU (%)</t>
  </si>
  <si>
    <t>Call Manager Thread CPU (%)</t>
  </si>
  <si>
    <t>Single Thread CPU (%)</t>
  </si>
  <si>
    <t>SIP Proxy CPU (%)</t>
  </si>
  <si>
    <t>Agent Desktop Connections (per Server)</t>
  </si>
  <si>
    <t>Totals</t>
  </si>
  <si>
    <t>ISCC Origination (% of Inbound calls)</t>
  </si>
  <si>
    <t>ISCC Direct-UUI (% of Inbound calls)</t>
  </si>
  <si>
    <t>ISCC Route (% of Inbound calls)</t>
  </si>
  <si>
    <t>Single-Step Conference   (% All Routed Calls)</t>
  </si>
  <si>
    <t>Two-Step Conference   (% All Routed Calls)</t>
  </si>
  <si>
    <t>Single-Step Transfer  (% All Routed Calls)</t>
  </si>
  <si>
    <t>Two-Step Transfer  (% All Routed Calls)</t>
  </si>
  <si>
    <t># Treatments per Inbound Call</t>
  </si>
  <si>
    <t>Voice Monitoring (% All Routed calls)</t>
  </si>
  <si>
    <t xml:space="preserve">Treatment (% Inbound calls) </t>
  </si>
  <si>
    <t>Recording  (% of All Routed Calls)</t>
  </si>
  <si>
    <t>Consultation  (% All Routed Calls)</t>
  </si>
  <si>
    <t>Duration of consult call  (no xfer or conf)</t>
  </si>
  <si>
    <t>SIP Server Main Thread CPU (estimated peak %)</t>
  </si>
  <si>
    <t>SIP Server Call Manager Thread CPU (estimated peak %)</t>
  </si>
  <si>
    <t>SIP Server Single Thread CPU (estimated peak %)</t>
  </si>
  <si>
    <t xml:space="preserve"> SIP Proxy CPU (estimated peak %)</t>
  </si>
  <si>
    <t>Concurrent Calls Per SIP Server HA Pair (estimated peak)</t>
  </si>
  <si>
    <t>Agent Connections Per SIP Server HA Pair (estimated peak)</t>
  </si>
  <si>
    <t>Calculations</t>
  </si>
  <si>
    <t>Monitoring Client Connections (to each SIP Server)</t>
  </si>
  <si>
    <t>Connections from Stat Server, ICON, etc</t>
  </si>
  <si>
    <t>Connections from Workspace or custom desktop</t>
  </si>
  <si>
    <t>Attached Data - Average # Updates per Call</t>
  </si>
  <si>
    <t>Attached Data - Average Size per Update (bytes)</t>
  </si>
  <si>
    <t>Min # SIP Server HA pairs to handle concurrent calls</t>
  </si>
  <si>
    <t>Proxy is optional; but when deployed use at least 2</t>
  </si>
  <si>
    <t>Min # SIP Server HA pairs to handle agent desktop connections</t>
  </si>
  <si>
    <t>Agent Desktops Connections (total)</t>
  </si>
  <si>
    <t>Max Threshold is to keep CPU usage of each thread below 75%</t>
  </si>
  <si>
    <t>Genesys SIP Sizing Input Parameters</t>
  </si>
  <si>
    <t>Genesys SIP Sizing Output Summary</t>
  </si>
  <si>
    <t>Agent Desktop Connections Adjustment</t>
  </si>
  <si>
    <t>Attached Data Adjustment</t>
  </si>
  <si>
    <t>Monitoring Client Connections Adjustment</t>
  </si>
  <si>
    <t>SIP Network Bandwidth (total estimated peak KBps)</t>
  </si>
  <si>
    <t>Customer Platform -  # Logical Processors</t>
  </si>
  <si>
    <t>Genesys Reference  Platform -  CPU Benchmark</t>
  </si>
  <si>
    <t>Genesys Reference  Platform  -  # Logical Processors</t>
  </si>
  <si>
    <t>T-Lib Network Bandwidth (total estimated peak KBps)</t>
  </si>
  <si>
    <t>Hardware adjustment coeficient</t>
  </si>
  <si>
    <t>Hardware Adjustment</t>
  </si>
  <si>
    <t>Percentage or Rate</t>
  </si>
  <si>
    <t>Dell Power Edge R710 2.8 GHz, 8 Cores/16 hyper threads</t>
  </si>
  <si>
    <t>Virtual Queue Event Distribution (rate)</t>
  </si>
  <si>
    <t>Virtual Queue Event Distribution (data size)</t>
  </si>
  <si>
    <t>Virtual Queue Distribution</t>
  </si>
  <si>
    <t>Virtual Queue: Overall Event Rate</t>
  </si>
  <si>
    <t>Vrtual Queue: Average User Data Size</t>
  </si>
  <si>
    <t>Version</t>
  </si>
  <si>
    <t>8.1.100.04</t>
  </si>
  <si>
    <t>8.1.100.05</t>
  </si>
  <si>
    <r>
      <rPr>
        <b/>
        <sz val="10"/>
        <rFont val="Arial"/>
        <family val="2"/>
      </rPr>
      <t>Ordering and Licensing Information:</t>
    </r>
    <r>
      <rPr>
        <sz val="10"/>
        <rFont val="Arial"/>
        <family val="2"/>
      </rPr>
      <t xml:space="preserve"> Complete information on ordering and licensing Genesys products can be found in the Genesys Licensing Guide. Released by Genesys Telecommunications Laboratories, Inc. www.genesys.com.</t>
    </r>
  </si>
  <si>
    <r>
      <rPr>
        <b/>
        <sz val="10"/>
        <rFont val="Arial"/>
        <family val="2"/>
      </rPr>
      <t>About Genesys:</t>
    </r>
    <r>
      <rPr>
        <sz val="10"/>
        <rFont val="Arial"/>
        <family val="2"/>
      </rPr>
      <t xml:space="preserve">  Genesys solutions feature leading software that manages customer interactions over phone, Web, and mobile devices. The Genesys software suite handles customer conversations across multiple channels and resources—self-service, assisted-service, and proactive outreach—fulfilling customer requests and optimizing customer care goals while efficiently using resources. Genesys software directs more than 100 million customer interactions every day for 4000 companies and government agencies in 80 countries. These companies and agencies leverage their entire organization, from the contact center to the back office, while dynamically engaging their customers. Go to www.genesys.com for more information.Each product has its own documentation for online viewing at the Genesys Customer Care website or on the Documentation Library DVD, which is available from Genesys upon request. For more information, contact your sales representative.</t>
    </r>
  </si>
  <si>
    <t>8.1.100.06</t>
  </si>
  <si>
    <t>First published version.</t>
  </si>
  <si>
    <t>Change History</t>
  </si>
  <si>
    <t>Updated the formula to calculate a hardware adjustment coefficient.</t>
  </si>
  <si>
    <t>Added Virtual Queue event distribution.</t>
  </si>
  <si>
    <t>Redirect</t>
  </si>
  <si>
    <t>Planned # SIP Server HA Pair(s) (Warm Standby)</t>
  </si>
  <si>
    <t>8.1.100.07</t>
  </si>
  <si>
    <t>Minimum # Multi-threaded SIP Server HA Pair(s) to handle Call Traffic</t>
  </si>
  <si>
    <t>Minimum # Single-threaded SIP Server HA Pair(s) to handle Call Traffic</t>
  </si>
  <si>
    <t>In multi-threaded mode, estimated CPU usage would be</t>
  </si>
  <si>
    <t>In single-threaded mode, estimated CPU usage would be</t>
  </si>
  <si>
    <t>Minimum # SIP Server HA Pairs (if running multi-threaded)</t>
  </si>
  <si>
    <t>Minimum # SIP Server HA Pairs (if running single-threaded)</t>
  </si>
  <si>
    <t>8.1.100.08</t>
  </si>
  <si>
    <t>Added sizing of SIP Server in Redirect mode.</t>
  </si>
  <si>
    <t>8.1.100.09</t>
  </si>
  <si>
    <t>8.1.100.10</t>
  </si>
  <si>
    <t>1. Over-provisioning (CPU and memory) does not happen on hosts where VM with SIP Servers are running</t>
  </si>
  <si>
    <t>For case of  Virtual machine next conditions should be satisfied:</t>
  </si>
  <si>
    <r>
      <rPr>
        <b/>
        <sz val="12"/>
        <color theme="1"/>
        <rFont val="Calibri"/>
        <family val="2"/>
        <scheme val="minor"/>
      </rPr>
      <t>Note</t>
    </r>
    <r>
      <rPr>
        <sz val="12"/>
        <color theme="1"/>
        <rFont val="Calibri"/>
        <family val="2"/>
        <scheme val="minor"/>
      </rPr>
      <t>. Sizing is valid for SIP Server running on dedicated hardware or inside of the Virtual machine on top of VMWare  ESX or Windows Hyper-V</t>
    </r>
  </si>
  <si>
    <t xml:space="preserve">2. Hosts are configured with performance power profile (processors works at the maximum frequency). </t>
  </si>
  <si>
    <t>Virtual Queue Dsitribution Adjustment</t>
  </si>
  <si>
    <t>8.1.100.11</t>
  </si>
  <si>
    <t>Fixed bug in sizing of Redirect Mode for Windows platform(invalid correction of for user date update).</t>
  </si>
  <si>
    <t>Virtual Queue Event Distribution Adjustment is now calculated after AttachedData Adjustment but before Monitoring Client Connections Adjustment.</t>
  </si>
  <si>
    <t>Predictive Hit Ratio (%)</t>
  </si>
  <si>
    <t>8.1.100.12</t>
  </si>
  <si>
    <r>
      <rPr>
        <b/>
        <sz val="10"/>
        <rFont val="Arial"/>
        <family val="2"/>
      </rPr>
      <t>Document Version:</t>
    </r>
    <r>
      <rPr>
        <sz val="10"/>
        <rFont val="Arial"/>
        <family val="2"/>
      </rPr>
      <t xml:space="preserve"> 8.1.100.12</t>
    </r>
  </si>
  <si>
    <t>The information contained herein is proprietary and confidential and cannot be disclosed or duplicated without the prior written consent of Genesys Telecommunications Laboratories, Inc. Copyright © 2014-2017 Genesys Telecommunications Laboratories, Inc. All rights reserved.</t>
  </si>
  <si>
    <t>Hit Ratio for predictive calls added.</t>
  </si>
  <si>
    <t>Validated sizing for Virtual Machines on top of Windows 2012 Hyper-V. Updated a basic set of coefficients.</t>
  </si>
  <si>
    <t>Fixed bug in calculation of SIP Server numbers. Removed “Logical Processors” rows, because these values were not used for calculation.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</si>
</sst>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b/>
      <sz val="14"/>
      <name val="Arial"/>
      <family val="2"/>
    </font>
    <font>
      <sz val="14"/>
      <name val="Arial"/>
      <family val="2"/>
    </font>
    <font>
      <b/>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0"/>
      <color theme="1"/>
      <name val="Calibri"/>
      <family val="2"/>
      <scheme val="minor"/>
    </font>
    <font>
      <b/>
      <sz val="10"/>
      <color rgb="FF000000"/>
      <name val="Calibri"/>
      <family val="2"/>
      <scheme val="minor"/>
    </font>
    <font>
      <b/>
      <sz val="14"/>
      <color rgb="FF000000"/>
      <name val="Calibri"/>
      <family val="2"/>
      <scheme val="minor"/>
    </font>
    <font>
      <b/>
      <sz val="10"/>
      <name val="Calibri"/>
      <family val="2"/>
      <scheme val="minor"/>
    </font>
    <font>
      <b/>
      <i/>
      <sz val="11"/>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gradientFill degree="225">
        <stop position="0">
          <color theme="0"/>
        </stop>
        <stop position="1">
          <color theme="8" tint="0.80001220740379042"/>
        </stop>
      </gradientFill>
    </fill>
    <fill>
      <gradientFill type="path">
        <stop position="0">
          <color theme="8" tint="0.40000610370189521"/>
        </stop>
        <stop position="1">
          <color theme="8" tint="0.59999389629810485"/>
        </stop>
      </gradientFill>
    </fill>
    <fill>
      <gradientFill degree="90">
        <stop position="0">
          <color rgb="FFFFCC66"/>
        </stop>
        <stop position="1">
          <color rgb="FFFFFF99"/>
        </stop>
      </gradientFill>
    </fill>
    <fill>
      <gradientFill degree="225">
        <stop position="0">
          <color rgb="FFFFCC66"/>
        </stop>
        <stop position="1">
          <color rgb="FFFFC000"/>
        </stop>
      </gradientFill>
    </fill>
    <fill>
      <gradientFill degree="225">
        <stop position="0">
          <color theme="6" tint="0.40000610370189521"/>
        </stop>
        <stop position="1">
          <color rgb="FF00B050"/>
        </stop>
      </gradientFill>
    </fill>
    <fill>
      <patternFill patternType="solid">
        <fgColor rgb="FFFFFF99"/>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auto="1"/>
      </left>
      <right/>
      <top/>
      <bottom style="medium">
        <color indexed="64"/>
      </bottom>
      <diagonal/>
    </border>
  </borders>
  <cellStyleXfs count="1038">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1" fillId="0" borderId="0"/>
    <xf numFmtId="0" fontId="15" fillId="0" borderId="0"/>
    <xf numFmtId="0" fontId="19" fillId="0" borderId="0"/>
    <xf numFmtId="0" fontId="20" fillId="0" borderId="0" applyNumberFormat="0" applyFill="0" applyBorder="0" applyAlignment="0" applyProtection="0"/>
    <xf numFmtId="0" fontId="21" fillId="0" borderId="15" applyNumberFormat="0" applyFill="0" applyAlignment="0" applyProtection="0"/>
    <xf numFmtId="0" fontId="22" fillId="0" borderId="16" applyNumberFormat="0" applyFill="0" applyAlignment="0" applyProtection="0"/>
    <xf numFmtId="0" fontId="23" fillId="0" borderId="17"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18" applyNumberFormat="0" applyAlignment="0" applyProtection="0"/>
    <xf numFmtId="0" fontId="28" fillId="6" borderId="19" applyNumberFormat="0" applyAlignment="0" applyProtection="0"/>
    <xf numFmtId="0" fontId="29" fillId="6" borderId="18" applyNumberFormat="0" applyAlignment="0" applyProtection="0"/>
    <xf numFmtId="0" fontId="30" fillId="0" borderId="20" applyNumberFormat="0" applyFill="0" applyAlignment="0" applyProtection="0"/>
    <xf numFmtId="0" fontId="31" fillId="7" borderId="21"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3" applyNumberFormat="0" applyFill="0" applyAlignment="0" applyProtection="0"/>
    <xf numFmtId="0" fontId="35"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5" fillId="32" borderId="0" applyNumberFormat="0" applyBorder="0" applyAlignment="0" applyProtection="0"/>
    <xf numFmtId="0" fontId="10" fillId="0" borderId="0"/>
    <xf numFmtId="0" fontId="10" fillId="8" borderId="22" applyNumberFormat="0" applyFont="0" applyAlignment="0" applyProtection="0"/>
    <xf numFmtId="0" fontId="9" fillId="0" borderId="0"/>
    <xf numFmtId="0" fontId="9" fillId="8" borderId="22"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0" fontId="8" fillId="8" borderId="22"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7" fillId="0" borderId="0"/>
    <xf numFmtId="0" fontId="7" fillId="8" borderId="22"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9" fontId="36"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6" fillId="0" borderId="0"/>
    <xf numFmtId="0" fontId="1" fillId="0" borderId="0"/>
    <xf numFmtId="0" fontId="15" fillId="0" borderId="0"/>
    <xf numFmtId="0" fontId="1" fillId="0" borderId="0"/>
    <xf numFmtId="0" fontId="1" fillId="8" borderId="22" applyNumberFormat="0" applyFont="0" applyAlignment="0" applyProtection="0"/>
    <xf numFmtId="0" fontId="1" fillId="0" borderId="0"/>
    <xf numFmtId="0" fontId="1" fillId="8" borderId="2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2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22"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36" fillId="0" borderId="0" applyFont="0" applyFill="0" applyBorder="0" applyAlignment="0" applyProtection="0"/>
  </cellStyleXfs>
  <cellXfs count="350">
    <xf numFmtId="0" fontId="0" fillId="0" borderId="0" xfId="0"/>
    <xf numFmtId="0" fontId="0" fillId="0" borderId="1" xfId="0" applyBorder="1"/>
    <xf numFmtId="0" fontId="0" fillId="0" borderId="0" xfId="0" applyAlignment="1">
      <alignment wrapText="1"/>
    </xf>
    <xf numFmtId="0" fontId="0" fillId="0" borderId="0" xfId="0" applyAlignment="1">
      <alignment vertical="top" wrapText="1"/>
    </xf>
    <xf numFmtId="0" fontId="0" fillId="0" borderId="0" xfId="0"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12" fillId="0" borderId="0" xfId="0" applyFont="1" applyBorder="1" applyAlignment="1">
      <alignment horizontal="lef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 xfId="0" quotePrefix="1" applyBorder="1" applyAlignment="1">
      <alignment vertical="top" wrapText="1"/>
    </xf>
    <xf numFmtId="0" fontId="0" fillId="0" borderId="12" xfId="0" applyBorder="1" applyAlignment="1">
      <alignment vertical="top" wrapText="1"/>
    </xf>
    <xf numFmtId="0" fontId="0" fillId="0" borderId="0" xfId="0" quotePrefix="1" applyBorder="1" applyAlignment="1">
      <alignment vertical="top" wrapText="1"/>
    </xf>
    <xf numFmtId="0" fontId="0" fillId="0" borderId="6" xfId="0" applyBorder="1" applyAlignment="1">
      <alignment vertical="top" wrapText="1"/>
    </xf>
    <xf numFmtId="0" fontId="0" fillId="0" borderId="4" xfId="0" applyFont="1" applyBorder="1" applyAlignment="1">
      <alignment vertical="top" wrapText="1"/>
    </xf>
    <xf numFmtId="0" fontId="0" fillId="0" borderId="0" xfId="0" applyFont="1" applyAlignment="1">
      <alignment vertical="top" wrapText="1"/>
    </xf>
    <xf numFmtId="0" fontId="0" fillId="0" borderId="2" xfId="0" applyFont="1" applyBorder="1" applyAlignment="1">
      <alignment vertical="top" wrapText="1"/>
    </xf>
    <xf numFmtId="0" fontId="0" fillId="0" borderId="6" xfId="0" applyFont="1" applyBorder="1" applyAlignment="1">
      <alignment vertical="top" wrapText="1"/>
    </xf>
    <xf numFmtId="0" fontId="0" fillId="0" borderId="0" xfId="0" applyAlignment="1">
      <alignment shrinkToFit="1"/>
    </xf>
    <xf numFmtId="0" fontId="11" fillId="0" borderId="0" xfId="889"/>
    <xf numFmtId="0" fontId="15" fillId="0" borderId="0" xfId="890" applyFont="1" applyAlignment="1">
      <alignment vertical="top" wrapText="1"/>
    </xf>
    <xf numFmtId="0" fontId="15" fillId="0" borderId="0" xfId="890" applyAlignment="1">
      <alignment vertical="top" wrapText="1"/>
    </xf>
    <xf numFmtId="0" fontId="18" fillId="0" borderId="0" xfId="890" applyFont="1" applyAlignment="1">
      <alignment vertical="top" wrapText="1"/>
    </xf>
    <xf numFmtId="0" fontId="0" fillId="0" borderId="2" xfId="0" applyBorder="1" applyAlignment="1">
      <alignment vertical="top" wrapText="1"/>
    </xf>
    <xf numFmtId="0" fontId="0" fillId="0" borderId="4" xfId="0" applyBorder="1" applyAlignment="1">
      <alignment vertical="top" wrapText="1"/>
    </xf>
    <xf numFmtId="0" fontId="0" fillId="0" borderId="13" xfId="0" applyBorder="1"/>
    <xf numFmtId="0" fontId="0" fillId="0" borderId="14" xfId="0" applyBorder="1"/>
    <xf numFmtId="0" fontId="12" fillId="0" borderId="2" xfId="0" applyFont="1" applyBorder="1" applyAlignment="1">
      <alignment horizontal="center" vertical="center"/>
    </xf>
    <xf numFmtId="0" fontId="0" fillId="0" borderId="0" xfId="0" applyAlignment="1">
      <alignment horizontal="center" vertical="center"/>
    </xf>
    <xf numFmtId="0" fontId="12" fillId="0" borderId="1" xfId="0" applyFont="1" applyBorder="1" applyAlignment="1">
      <alignment horizontal="center" vertical="center" wrapText="1"/>
    </xf>
    <xf numFmtId="0" fontId="0" fillId="0" borderId="5" xfId="0" quotePrefix="1" applyBorder="1" applyAlignment="1">
      <alignment horizontal="center" vertical="top" wrapText="1"/>
    </xf>
    <xf numFmtId="0" fontId="0" fillId="0" borderId="5" xfId="0" quotePrefix="1" applyBorder="1" applyAlignment="1">
      <alignment horizontal="center" vertical="top" wrapText="1"/>
    </xf>
    <xf numFmtId="0" fontId="0" fillId="0" borderId="0" xfId="0" applyBorder="1"/>
    <xf numFmtId="0" fontId="0" fillId="0" borderId="14" xfId="0" quotePrefix="1" applyBorder="1" applyAlignment="1">
      <alignment vertical="top" wrapText="1"/>
    </xf>
    <xf numFmtId="0" fontId="19" fillId="0" borderId="0" xfId="891" applyBorder="1"/>
    <xf numFmtId="0" fontId="0" fillId="0" borderId="12" xfId="0" applyBorder="1"/>
    <xf numFmtId="0" fontId="0" fillId="0" borderId="10" xfId="0" applyFill="1" applyBorder="1" applyAlignment="1"/>
    <xf numFmtId="0" fontId="0" fillId="0" borderId="7" xfId="0" applyFill="1" applyBorder="1" applyAlignment="1"/>
    <xf numFmtId="0" fontId="0" fillId="0" borderId="3" xfId="0" applyBorder="1" applyAlignment="1">
      <alignment vertical="top"/>
    </xf>
    <xf numFmtId="0" fontId="0" fillId="0" borderId="11" xfId="0" quotePrefix="1" applyBorder="1" applyAlignment="1">
      <alignment horizontal="center" vertical="top" wrapText="1"/>
    </xf>
    <xf numFmtId="0" fontId="0" fillId="0" borderId="4" xfId="0" applyBorder="1"/>
    <xf numFmtId="0" fontId="9" fillId="0" borderId="3" xfId="934" applyBorder="1" applyAlignment="1">
      <alignment horizontal="center" vertical="center"/>
    </xf>
    <xf numFmtId="0" fontId="0" fillId="0" borderId="3" xfId="0" applyBorder="1" applyAlignment="1">
      <alignment horizontal="center" vertical="center" wrapText="1"/>
    </xf>
    <xf numFmtId="0" fontId="9" fillId="0" borderId="0" xfId="934"/>
    <xf numFmtId="0" fontId="9" fillId="0" borderId="0" xfId="934"/>
    <xf numFmtId="0" fontId="8" fillId="0" borderId="6" xfId="948" applyBorder="1"/>
    <xf numFmtId="0" fontId="8" fillId="0" borderId="10" xfId="948" applyBorder="1"/>
    <xf numFmtId="0" fontId="8" fillId="0" borderId="9" xfId="948" applyBorder="1"/>
    <xf numFmtId="0" fontId="8" fillId="0" borderId="7" xfId="948" applyBorder="1"/>
    <xf numFmtId="0" fontId="8" fillId="0" borderId="0" xfId="948"/>
    <xf numFmtId="0" fontId="8" fillId="0" borderId="0" xfId="948"/>
    <xf numFmtId="0" fontId="0" fillId="0" borderId="9" xfId="0" applyBorder="1"/>
    <xf numFmtId="0" fontId="12" fillId="0" borderId="12" xfId="0" applyFont="1" applyBorder="1" applyAlignment="1">
      <alignment vertical="top" wrapText="1"/>
    </xf>
    <xf numFmtId="0" fontId="12" fillId="0" borderId="2" xfId="0" applyFont="1" applyBorder="1" applyAlignment="1">
      <alignment vertical="top" wrapText="1"/>
    </xf>
    <xf numFmtId="0" fontId="12" fillId="0" borderId="1" xfId="0" applyFont="1" applyBorder="1" applyAlignment="1">
      <alignment vertical="top" wrapText="1"/>
    </xf>
    <xf numFmtId="0" fontId="0" fillId="0" borderId="4" xfId="0" applyFill="1" applyBorder="1" applyAlignment="1">
      <alignment vertical="top" wrapText="1"/>
    </xf>
    <xf numFmtId="0" fontId="0" fillId="0" borderId="4" xfId="0" applyFill="1" applyBorder="1"/>
    <xf numFmtId="0" fontId="0" fillId="0" borderId="6" xfId="0" applyBorder="1"/>
    <xf numFmtId="0" fontId="0" fillId="0" borderId="9" xfId="0" applyFill="1" applyBorder="1"/>
    <xf numFmtId="0" fontId="0" fillId="0" borderId="9" xfId="0" applyFill="1" applyBorder="1" applyAlignment="1">
      <alignment vertical="top" wrapText="1"/>
    </xf>
    <xf numFmtId="0" fontId="0" fillId="0" borderId="3" xfId="0" applyBorder="1" applyAlignment="1">
      <alignment wrapText="1"/>
    </xf>
    <xf numFmtId="0" fontId="7" fillId="0" borderId="7" xfId="962" applyBorder="1"/>
    <xf numFmtId="0" fontId="7" fillId="0" borderId="3" xfId="962" applyBorder="1" applyAlignment="1"/>
    <xf numFmtId="0" fontId="7" fillId="0" borderId="10" xfId="962" applyBorder="1"/>
    <xf numFmtId="0" fontId="7" fillId="0" borderId="0" xfId="962"/>
    <xf numFmtId="0" fontId="7" fillId="0" borderId="0" xfId="962"/>
    <xf numFmtId="0" fontId="7" fillId="0" borderId="0" xfId="962"/>
    <xf numFmtId="0" fontId="7" fillId="0" borderId="0" xfId="962"/>
    <xf numFmtId="0" fontId="6" fillId="0" borderId="0" xfId="0" applyFont="1"/>
    <xf numFmtId="0" fontId="34" fillId="0" borderId="0" xfId="0" applyFont="1" applyBorder="1" applyAlignment="1">
      <alignment horizontal="center"/>
    </xf>
    <xf numFmtId="0" fontId="6" fillId="0" borderId="0" xfId="0" applyFont="1" applyBorder="1"/>
    <xf numFmtId="0" fontId="34" fillId="0" borderId="0" xfId="0" applyFont="1" applyFill="1" applyBorder="1" applyAlignment="1">
      <alignment horizontal="center"/>
    </xf>
    <xf numFmtId="0" fontId="6" fillId="0" borderId="0" xfId="0" applyFont="1" applyBorder="1" applyAlignment="1">
      <alignment horizontal="left" vertical="top" wrapText="1"/>
    </xf>
    <xf numFmtId="0" fontId="6" fillId="0" borderId="0" xfId="0" applyFont="1" applyAlignment="1">
      <alignment wrapText="1"/>
    </xf>
    <xf numFmtId="0" fontId="34" fillId="0" borderId="0" xfId="0" applyFont="1" applyBorder="1" applyAlignment="1">
      <alignment horizontal="left" vertical="top" wrapText="1"/>
    </xf>
    <xf numFmtId="0" fontId="34" fillId="0" borderId="0" xfId="0" applyFont="1"/>
    <xf numFmtId="0" fontId="6" fillId="0" borderId="0" xfId="0" applyFont="1" applyAlignment="1">
      <alignment horizontal="center"/>
    </xf>
    <xf numFmtId="0" fontId="6" fillId="0" borderId="0" xfId="0" applyFont="1" applyAlignment="1">
      <alignment vertical="top" wrapText="1"/>
    </xf>
    <xf numFmtId="0" fontId="6" fillId="0" borderId="30" xfId="0" applyFont="1" applyBorder="1" applyAlignment="1">
      <alignment vertical="top" wrapText="1"/>
    </xf>
    <xf numFmtId="0" fontId="6" fillId="0" borderId="0" xfId="0" applyFont="1" applyBorder="1" applyAlignment="1">
      <alignment vertical="top" wrapText="1"/>
    </xf>
    <xf numFmtId="0" fontId="34" fillId="0" borderId="0" xfId="0" applyFont="1" applyBorder="1" applyAlignment="1">
      <alignment horizontal="center" vertical="top" wrapText="1"/>
    </xf>
    <xf numFmtId="0" fontId="34" fillId="0" borderId="0" xfId="0" applyFont="1" applyBorder="1" applyAlignment="1">
      <alignment vertical="top" wrapText="1"/>
    </xf>
    <xf numFmtId="0" fontId="34" fillId="33" borderId="0" xfId="0" applyFont="1" applyFill="1" applyBorder="1" applyAlignment="1">
      <alignment horizontal="center"/>
    </xf>
    <xf numFmtId="0" fontId="34" fillId="0" borderId="1" xfId="0" applyFont="1" applyBorder="1" applyAlignment="1">
      <alignment horizontal="center" vertical="top" wrapText="1"/>
    </xf>
    <xf numFmtId="0" fontId="43" fillId="0" borderId="1" xfId="0" applyFont="1" applyBorder="1" applyAlignment="1" applyProtection="1">
      <alignment horizontal="right" vertical="center"/>
    </xf>
    <xf numFmtId="0" fontId="43" fillId="0" borderId="1" xfId="0" applyFont="1" applyBorder="1" applyAlignment="1" applyProtection="1">
      <alignment horizontal="right" vertical="center" wrapText="1"/>
      <protection locked="0"/>
    </xf>
    <xf numFmtId="2" fontId="6" fillId="0" borderId="1" xfId="0" applyNumberFormat="1" applyFont="1" applyBorder="1" applyAlignment="1">
      <alignment vertical="top" wrapText="1"/>
    </xf>
    <xf numFmtId="2" fontId="37" fillId="0" borderId="1" xfId="0" applyNumberFormat="1" applyFont="1" applyBorder="1" applyAlignment="1">
      <alignment vertical="top" wrapText="1"/>
    </xf>
    <xf numFmtId="0" fontId="6" fillId="0" borderId="1" xfId="0" applyFont="1" applyBorder="1" applyAlignment="1">
      <alignment vertical="center" wrapText="1"/>
    </xf>
    <xf numFmtId="0" fontId="41" fillId="0" borderId="0" xfId="0" applyFont="1" applyBorder="1" applyAlignment="1">
      <alignment vertical="top" wrapText="1"/>
    </xf>
    <xf numFmtId="0" fontId="43" fillId="0" borderId="0" xfId="0" applyFont="1" applyBorder="1" applyAlignment="1" applyProtection="1">
      <alignment horizontal="right" vertical="center" wrapText="1"/>
      <protection locked="0"/>
    </xf>
    <xf numFmtId="0" fontId="43" fillId="0" borderId="0" xfId="0" applyFont="1" applyBorder="1" applyAlignment="1">
      <alignment horizontal="center" vertical="top" wrapText="1"/>
    </xf>
    <xf numFmtId="0" fontId="42" fillId="0" borderId="0" xfId="0" applyFont="1" applyFill="1" applyBorder="1" applyAlignment="1" applyProtection="1">
      <alignment vertical="center"/>
      <protection locked="0"/>
    </xf>
    <xf numFmtId="0" fontId="34" fillId="33" borderId="34" xfId="0" applyFont="1" applyFill="1" applyBorder="1" applyAlignment="1">
      <alignment horizontal="center"/>
    </xf>
    <xf numFmtId="0" fontId="34" fillId="33" borderId="35" xfId="0" applyFont="1" applyFill="1" applyBorder="1" applyAlignment="1">
      <alignment horizontal="center"/>
    </xf>
    <xf numFmtId="0" fontId="43" fillId="0" borderId="30" xfId="0" applyFont="1" applyBorder="1" applyAlignment="1">
      <alignment vertical="center"/>
    </xf>
    <xf numFmtId="0" fontId="43" fillId="0" borderId="30" xfId="0" applyFont="1" applyBorder="1" applyAlignment="1">
      <alignment vertical="center" wrapText="1"/>
    </xf>
    <xf numFmtId="0" fontId="43" fillId="0" borderId="30" xfId="0" applyFont="1" applyBorder="1" applyAlignment="1">
      <alignment wrapText="1"/>
    </xf>
    <xf numFmtId="0" fontId="41" fillId="0" borderId="30" xfId="0" applyFont="1" applyBorder="1" applyAlignment="1">
      <alignment vertical="center" wrapText="1"/>
    </xf>
    <xf numFmtId="0" fontId="34" fillId="0" borderId="34" xfId="0" applyFont="1" applyBorder="1" applyAlignment="1">
      <alignment wrapText="1"/>
    </xf>
    <xf numFmtId="0" fontId="6" fillId="0" borderId="35" xfId="0" applyFont="1" applyBorder="1"/>
    <xf numFmtId="0" fontId="41" fillId="0" borderId="30" xfId="0" applyFont="1" applyBorder="1" applyAlignment="1">
      <alignment vertical="top" wrapText="1"/>
    </xf>
    <xf numFmtId="0" fontId="41" fillId="0" borderId="32" xfId="0" applyFont="1" applyBorder="1" applyAlignment="1">
      <alignment vertical="top" wrapText="1"/>
    </xf>
    <xf numFmtId="0" fontId="43" fillId="0" borderId="24" xfId="0" applyFont="1" applyBorder="1" applyAlignment="1" applyProtection="1">
      <alignment horizontal="right" vertical="center" wrapText="1"/>
      <protection locked="0"/>
    </xf>
    <xf numFmtId="0" fontId="44" fillId="0" borderId="0" xfId="0" applyFont="1" applyBorder="1" applyAlignment="1">
      <alignment vertical="top" wrapText="1"/>
    </xf>
    <xf numFmtId="0" fontId="44" fillId="0" borderId="34" xfId="0" applyFont="1" applyBorder="1" applyAlignment="1">
      <alignment vertical="top" wrapText="1"/>
    </xf>
    <xf numFmtId="0" fontId="6" fillId="0" borderId="35" xfId="0" applyFont="1" applyBorder="1" applyAlignment="1">
      <alignment horizontal="left" vertical="top" wrapText="1"/>
    </xf>
    <xf numFmtId="0" fontId="6" fillId="0" borderId="30" xfId="0" applyFont="1" applyBorder="1" applyAlignment="1">
      <alignment wrapText="1"/>
    </xf>
    <xf numFmtId="0" fontId="34" fillId="0" borderId="30" xfId="0" applyFont="1" applyBorder="1" applyAlignment="1">
      <alignment vertical="top" wrapText="1"/>
    </xf>
    <xf numFmtId="0" fontId="6" fillId="0" borderId="35" xfId="0" applyFont="1" applyBorder="1" applyAlignment="1">
      <alignment vertical="top" wrapText="1"/>
    </xf>
    <xf numFmtId="0" fontId="34" fillId="0" borderId="31" xfId="0" applyFont="1" applyBorder="1" applyAlignment="1">
      <alignment horizontal="center" vertical="top" wrapText="1"/>
    </xf>
    <xf numFmtId="2" fontId="6" fillId="0" borderId="31" xfId="0" applyNumberFormat="1" applyFont="1" applyBorder="1" applyAlignment="1">
      <alignment vertical="top" wrapText="1"/>
    </xf>
    <xf numFmtId="0" fontId="46" fillId="34" borderId="1" xfId="0" applyFont="1" applyFill="1" applyBorder="1" applyAlignment="1" applyProtection="1">
      <alignment horizontal="center" vertical="center"/>
      <protection locked="0"/>
    </xf>
    <xf numFmtId="0" fontId="46" fillId="34" borderId="1" xfId="0" applyFont="1" applyFill="1" applyBorder="1" applyAlignment="1" applyProtection="1">
      <alignment vertical="center"/>
      <protection locked="0"/>
    </xf>
    <xf numFmtId="0" fontId="46" fillId="34" borderId="24" xfId="0" applyFont="1" applyFill="1" applyBorder="1" applyAlignment="1" applyProtection="1">
      <alignment vertical="center"/>
      <protection locked="0"/>
    </xf>
    <xf numFmtId="1" fontId="6" fillId="0" borderId="1" xfId="0" applyNumberFormat="1" applyFont="1" applyBorder="1"/>
    <xf numFmtId="0" fontId="34" fillId="0" borderId="30" xfId="0" applyFont="1" applyBorder="1" applyAlignment="1">
      <alignment horizontal="right" vertical="top" wrapText="1"/>
    </xf>
    <xf numFmtId="0" fontId="6" fillId="0" borderId="34" xfId="0" applyFont="1" applyBorder="1" applyAlignment="1">
      <alignment vertical="top" wrapText="1"/>
    </xf>
    <xf numFmtId="0" fontId="6" fillId="0" borderId="24" xfId="0" applyFont="1" applyBorder="1" applyAlignment="1">
      <alignment vertical="center" wrapText="1"/>
    </xf>
    <xf numFmtId="0" fontId="34" fillId="0" borderId="34" xfId="0" applyFont="1" applyBorder="1" applyAlignment="1">
      <alignment horizontal="center" vertical="top" wrapText="1"/>
    </xf>
    <xf numFmtId="0" fontId="34" fillId="0" borderId="35" xfId="0" applyFont="1" applyBorder="1" applyAlignment="1">
      <alignment horizontal="center" vertical="top" wrapText="1"/>
    </xf>
    <xf numFmtId="0" fontId="34" fillId="0" borderId="30" xfId="0" applyFont="1" applyBorder="1" applyAlignment="1">
      <alignment wrapText="1"/>
    </xf>
    <xf numFmtId="1" fontId="37" fillId="36" borderId="31" xfId="976" applyNumberFormat="1" applyFont="1" applyFill="1" applyBorder="1" applyAlignment="1" applyProtection="1">
      <alignment horizontal="right" vertical="center" wrapText="1"/>
    </xf>
    <xf numFmtId="0" fontId="34" fillId="0" borderId="34" xfId="0" applyFont="1" applyBorder="1"/>
    <xf numFmtId="0" fontId="34" fillId="0" borderId="30" xfId="0" applyFont="1" applyBorder="1"/>
    <xf numFmtId="0" fontId="34" fillId="0" borderId="37" xfId="0" applyFont="1" applyBorder="1" applyAlignment="1">
      <alignment wrapText="1"/>
    </xf>
    <xf numFmtId="9" fontId="6" fillId="0" borderId="36" xfId="976" applyFont="1" applyBorder="1" applyAlignment="1">
      <alignment horizontal="right"/>
    </xf>
    <xf numFmtId="0" fontId="34" fillId="0" borderId="41" xfId="0" applyFont="1" applyBorder="1"/>
    <xf numFmtId="0" fontId="37" fillId="0" borderId="42" xfId="976" applyNumberFormat="1" applyFont="1" applyFill="1" applyBorder="1" applyAlignment="1" applyProtection="1">
      <alignment horizontal="right" vertical="center" wrapText="1"/>
    </xf>
    <xf numFmtId="164" fontId="37" fillId="36" borderId="31" xfId="976" applyNumberFormat="1" applyFont="1" applyFill="1" applyBorder="1" applyAlignment="1" applyProtection="1">
      <alignment horizontal="right" vertical="center" wrapText="1"/>
    </xf>
    <xf numFmtId="0" fontId="34" fillId="0" borderId="37" xfId="0" applyFont="1" applyBorder="1"/>
    <xf numFmtId="164" fontId="37" fillId="0" borderId="36" xfId="976" applyNumberFormat="1" applyFont="1" applyFill="1" applyBorder="1" applyAlignment="1" applyProtection="1">
      <alignment horizontal="right" vertical="center" wrapText="1"/>
    </xf>
    <xf numFmtId="0" fontId="6" fillId="0" borderId="37" xfId="0" applyFont="1" applyBorder="1"/>
    <xf numFmtId="0" fontId="34" fillId="0" borderId="30" xfId="0" applyFont="1" applyBorder="1" applyAlignment="1">
      <alignment horizontal="left" vertical="center" wrapText="1"/>
    </xf>
    <xf numFmtId="0" fontId="40" fillId="35" borderId="27" xfId="0" applyFont="1" applyFill="1" applyBorder="1" applyAlignment="1">
      <alignment horizontal="left" vertical="center"/>
    </xf>
    <xf numFmtId="0" fontId="40" fillId="35" borderId="28" xfId="0" applyFont="1" applyFill="1" applyBorder="1" applyAlignment="1">
      <alignment horizontal="center" vertical="center" wrapText="1"/>
    </xf>
    <xf numFmtId="0" fontId="41" fillId="0" borderId="32" xfId="0" applyFont="1" applyBorder="1" applyAlignment="1">
      <alignment vertical="center" wrapText="1"/>
    </xf>
    <xf numFmtId="0" fontId="40" fillId="0" borderId="34" xfId="0" applyFont="1" applyBorder="1" applyAlignment="1"/>
    <xf numFmtId="0" fontId="40" fillId="0" borderId="0" xfId="0" applyFont="1" applyBorder="1" applyAlignment="1"/>
    <xf numFmtId="0" fontId="40" fillId="0" borderId="35" xfId="0" applyFont="1" applyBorder="1" applyAlignment="1"/>
    <xf numFmtId="0" fontId="40" fillId="35" borderId="27" xfId="0" applyFont="1" applyFill="1" applyBorder="1" applyAlignment="1">
      <alignment horizontal="left" vertical="center" wrapText="1"/>
    </xf>
    <xf numFmtId="0" fontId="6" fillId="0" borderId="0" xfId="0" applyFont="1" applyBorder="1" applyAlignment="1">
      <alignment horizontal="center"/>
    </xf>
    <xf numFmtId="0" fontId="40" fillId="35" borderId="28" xfId="0" applyFont="1" applyFill="1" applyBorder="1" applyAlignment="1">
      <alignment horizontal="center" vertical="center" wrapText="1"/>
    </xf>
    <xf numFmtId="0" fontId="34" fillId="0" borderId="34" xfId="0" applyFont="1" applyBorder="1" applyAlignment="1">
      <alignment horizontal="right" vertical="top" wrapText="1"/>
    </xf>
    <xf numFmtId="2" fontId="6" fillId="0" borderId="0" xfId="0" applyNumberFormat="1" applyFont="1" applyBorder="1" applyAlignment="1">
      <alignment vertical="top" wrapText="1"/>
    </xf>
    <xf numFmtId="2" fontId="37" fillId="0" borderId="0" xfId="0" applyNumberFormat="1" applyFont="1" applyBorder="1" applyAlignment="1">
      <alignment vertical="top" wrapText="1"/>
    </xf>
    <xf numFmtId="2" fontId="6" fillId="0" borderId="35" xfId="0" applyNumberFormat="1" applyFont="1" applyBorder="1" applyAlignment="1">
      <alignment vertical="top" wrapText="1"/>
    </xf>
    <xf numFmtId="0" fontId="46" fillId="34" borderId="0" xfId="0" applyFont="1" applyFill="1" applyBorder="1" applyAlignment="1" applyProtection="1">
      <alignment vertical="center"/>
      <protection locked="0"/>
    </xf>
    <xf numFmtId="49" fontId="38" fillId="33" borderId="37" xfId="0" applyNumberFormat="1" applyFont="1" applyFill="1" applyBorder="1" applyAlignment="1"/>
    <xf numFmtId="0" fontId="6" fillId="0" borderId="40" xfId="0" applyFont="1" applyBorder="1" applyAlignment="1">
      <alignment horizontal="right"/>
    </xf>
    <xf numFmtId="0" fontId="34" fillId="0" borderId="0" xfId="0" applyFont="1" applyBorder="1"/>
    <xf numFmtId="0" fontId="6" fillId="0" borderId="0" xfId="0" applyFont="1" applyBorder="1" applyAlignment="1">
      <alignment wrapText="1"/>
    </xf>
    <xf numFmtId="49" fontId="38" fillId="33" borderId="0" xfId="0" applyNumberFormat="1" applyFont="1" applyFill="1" applyBorder="1" applyAlignment="1"/>
    <xf numFmtId="0" fontId="34" fillId="0" borderId="0" xfId="0" applyFont="1" applyBorder="1" applyAlignment="1">
      <alignment wrapText="1"/>
    </xf>
    <xf numFmtId="9" fontId="6" fillId="0" borderId="0" xfId="976" applyFont="1" applyBorder="1" applyAlignment="1">
      <alignment horizontal="right"/>
    </xf>
    <xf numFmtId="0" fontId="37" fillId="0" borderId="0" xfId="976" applyNumberFormat="1" applyFont="1" applyFill="1" applyBorder="1" applyAlignment="1" applyProtection="1">
      <alignment horizontal="right" vertical="center" wrapText="1"/>
    </xf>
    <xf numFmtId="0" fontId="41" fillId="0" borderId="0" xfId="0" applyFont="1" applyBorder="1" applyAlignment="1">
      <alignment vertical="center" wrapText="1"/>
    </xf>
    <xf numFmtId="0" fontId="6" fillId="0" borderId="46" xfId="0" applyFont="1" applyBorder="1"/>
    <xf numFmtId="0" fontId="34" fillId="0" borderId="43" xfId="0" applyFont="1" applyBorder="1"/>
    <xf numFmtId="0" fontId="6" fillId="0" borderId="33" xfId="0" applyFont="1" applyBorder="1"/>
    <xf numFmtId="0" fontId="6" fillId="0" borderId="50" xfId="0" applyFont="1" applyBorder="1" applyAlignment="1">
      <alignment wrapText="1"/>
    </xf>
    <xf numFmtId="0" fontId="6" fillId="0" borderId="51" xfId="0" applyFont="1" applyBorder="1" applyAlignment="1">
      <alignment horizontal="center"/>
    </xf>
    <xf numFmtId="0" fontId="6" fillId="0" borderId="52" xfId="0" applyFont="1" applyBorder="1" applyAlignment="1">
      <alignment horizontal="center"/>
    </xf>
    <xf numFmtId="0" fontId="6" fillId="0" borderId="53" xfId="0" quotePrefix="1" applyFont="1" applyBorder="1" applyAlignment="1">
      <alignment vertical="top" wrapText="1"/>
    </xf>
    <xf numFmtId="0" fontId="6" fillId="0" borderId="54" xfId="0" applyFont="1" applyBorder="1" applyAlignment="1">
      <alignment vertical="top" wrapText="1"/>
    </xf>
    <xf numFmtId="0" fontId="6" fillId="0" borderId="55" xfId="0" applyFont="1" applyBorder="1" applyAlignment="1">
      <alignment vertical="top" wrapText="1"/>
    </xf>
    <xf numFmtId="0" fontId="41" fillId="0" borderId="56" xfId="0" applyFont="1" applyBorder="1" applyAlignment="1">
      <alignment vertical="center" wrapText="1"/>
    </xf>
    <xf numFmtId="1" fontId="6" fillId="0" borderId="12" xfId="0" applyNumberFormat="1" applyFont="1" applyBorder="1" applyAlignment="1">
      <alignment horizontal="right" vertical="top" wrapText="1"/>
    </xf>
    <xf numFmtId="0" fontId="6" fillId="0" borderId="56" xfId="0" applyFont="1" applyBorder="1" applyAlignment="1">
      <alignment wrapText="1"/>
    </xf>
    <xf numFmtId="1" fontId="37" fillId="0" borderId="58" xfId="0" applyNumberFormat="1" applyFont="1" applyBorder="1" applyAlignment="1">
      <alignment wrapText="1"/>
    </xf>
    <xf numFmtId="0" fontId="46" fillId="34" borderId="48" xfId="0" applyFont="1" applyFill="1" applyBorder="1" applyAlignment="1" applyProtection="1">
      <alignment vertical="center"/>
      <protection locked="0"/>
    </xf>
    <xf numFmtId="0" fontId="6" fillId="0" borderId="59" xfId="0" applyFont="1" applyBorder="1" applyAlignment="1">
      <alignment horizontal="center"/>
    </xf>
    <xf numFmtId="0" fontId="6" fillId="0" borderId="53" xfId="0" applyFont="1" applyBorder="1" applyAlignment="1">
      <alignment vertical="top" wrapText="1"/>
    </xf>
    <xf numFmtId="0" fontId="6" fillId="0" borderId="47" xfId="0" applyFont="1" applyBorder="1" applyAlignment="1">
      <alignment wrapText="1"/>
    </xf>
    <xf numFmtId="1" fontId="37" fillId="0" borderId="49" xfId="0" applyNumberFormat="1" applyFont="1" applyBorder="1" applyAlignment="1">
      <alignment wrapText="1"/>
    </xf>
    <xf numFmtId="0" fontId="6" fillId="0" borderId="25" xfId="0" applyFont="1" applyBorder="1" applyAlignment="1">
      <alignment horizontal="center"/>
    </xf>
    <xf numFmtId="0" fontId="6" fillId="0" borderId="26" xfId="0" applyFont="1" applyBorder="1" applyAlignment="1">
      <alignment horizontal="center"/>
    </xf>
    <xf numFmtId="0" fontId="6" fillId="0" borderId="44" xfId="0" applyFont="1" applyBorder="1" applyAlignment="1">
      <alignment horizontal="center"/>
    </xf>
    <xf numFmtId="0" fontId="41" fillId="0" borderId="50" xfId="0" applyFont="1" applyBorder="1" applyAlignment="1">
      <alignment vertical="center" wrapText="1"/>
    </xf>
    <xf numFmtId="0" fontId="46" fillId="34" borderId="12" xfId="0" applyFont="1" applyFill="1" applyBorder="1" applyAlignment="1" applyProtection="1">
      <alignment vertical="center"/>
      <protection locked="0"/>
    </xf>
    <xf numFmtId="0" fontId="41" fillId="0" borderId="60" xfId="0" applyFont="1" applyBorder="1" applyAlignment="1">
      <alignment vertical="center" wrapText="1"/>
    </xf>
    <xf numFmtId="0" fontId="46" fillId="34" borderId="14" xfId="0" applyFont="1" applyFill="1" applyBorder="1" applyAlignment="1" applyProtection="1">
      <alignment vertical="center"/>
      <protection locked="0"/>
    </xf>
    <xf numFmtId="0" fontId="41" fillId="0" borderId="62" xfId="0" applyFont="1" applyBorder="1" applyAlignment="1">
      <alignment vertical="center" wrapText="1"/>
    </xf>
    <xf numFmtId="0" fontId="46" fillId="34" borderId="63" xfId="0" applyFont="1" applyFill="1" applyBorder="1" applyAlignment="1" applyProtection="1">
      <alignment vertical="center"/>
      <protection locked="0"/>
    </xf>
    <xf numFmtId="0" fontId="6" fillId="0" borderId="64" xfId="0" applyFont="1" applyBorder="1" applyAlignment="1">
      <alignment horizontal="center"/>
    </xf>
    <xf numFmtId="0" fontId="4" fillId="0" borderId="30" xfId="0" applyFont="1" applyBorder="1" applyAlignment="1">
      <alignment vertical="top" wrapText="1"/>
    </xf>
    <xf numFmtId="0" fontId="0" fillId="0" borderId="57" xfId="0" applyBorder="1"/>
    <xf numFmtId="0" fontId="0" fillId="0" borderId="0" xfId="0" applyFont="1" applyBorder="1" applyAlignment="1">
      <alignment horizontal="left"/>
    </xf>
    <xf numFmtId="0" fontId="0" fillId="0" borderId="57" xfId="0" applyFont="1" applyBorder="1" applyAlignment="1">
      <alignment horizontal="left"/>
    </xf>
    <xf numFmtId="0" fontId="0" fillId="0" borderId="0" xfId="0" applyFont="1"/>
    <xf numFmtId="0" fontId="6" fillId="0" borderId="0" xfId="0" applyFont="1" applyBorder="1" applyAlignment="1">
      <alignment horizontal="center"/>
    </xf>
    <xf numFmtId="0" fontId="40" fillId="35" borderId="28" xfId="0" applyFont="1" applyFill="1" applyBorder="1" applyAlignment="1">
      <alignment horizontal="center" vertical="center" wrapText="1"/>
    </xf>
    <xf numFmtId="0" fontId="40" fillId="35" borderId="62" xfId="0" applyFont="1" applyFill="1" applyBorder="1" applyAlignment="1">
      <alignment horizontal="left" vertical="center" wrapText="1"/>
    </xf>
    <xf numFmtId="0" fontId="40" fillId="35" borderId="64" xfId="0" applyFont="1" applyFill="1" applyBorder="1" applyAlignment="1">
      <alignment horizontal="center" vertical="center" wrapText="1"/>
    </xf>
    <xf numFmtId="0" fontId="3" fillId="0" borderId="30" xfId="0" applyFont="1" applyBorder="1" applyAlignment="1">
      <alignment vertical="top" wrapText="1"/>
    </xf>
    <xf numFmtId="0" fontId="46" fillId="34" borderId="2" xfId="0" applyFont="1" applyFill="1" applyBorder="1" applyAlignment="1" applyProtection="1">
      <alignment vertical="center"/>
      <protection locked="0"/>
    </xf>
    <xf numFmtId="0" fontId="46" fillId="34" borderId="25" xfId="0" applyFont="1" applyFill="1" applyBorder="1" applyAlignment="1" applyProtection="1">
      <alignment vertical="center"/>
      <protection locked="0"/>
    </xf>
    <xf numFmtId="0" fontId="43" fillId="0" borderId="50" xfId="0" applyFont="1" applyBorder="1" applyAlignment="1">
      <alignment wrapText="1"/>
    </xf>
    <xf numFmtId="0" fontId="41" fillId="0" borderId="27" xfId="0" applyFont="1" applyBorder="1" applyAlignment="1">
      <alignment vertical="center" wrapText="1"/>
    </xf>
    <xf numFmtId="0" fontId="46" fillId="34" borderId="28" xfId="0" applyFont="1" applyFill="1" applyBorder="1" applyAlignment="1" applyProtection="1">
      <alignment vertical="center"/>
      <protection locked="0"/>
    </xf>
    <xf numFmtId="0" fontId="41" fillId="0" borderId="69" xfId="0" applyFont="1" applyBorder="1" applyAlignment="1">
      <alignment vertical="center" wrapText="1"/>
    </xf>
    <xf numFmtId="0" fontId="46" fillId="34" borderId="54" xfId="0" applyFont="1" applyFill="1" applyBorder="1" applyAlignment="1" applyProtection="1">
      <alignment vertical="center"/>
      <protection locked="0"/>
    </xf>
    <xf numFmtId="0" fontId="12" fillId="0" borderId="57" xfId="0" applyFont="1" applyBorder="1" applyAlignment="1">
      <alignment horizontal="left"/>
    </xf>
    <xf numFmtId="0" fontId="2" fillId="0" borderId="30" xfId="0" applyFont="1" applyBorder="1" applyAlignment="1">
      <alignment vertical="center" wrapText="1"/>
    </xf>
    <xf numFmtId="0" fontId="2" fillId="0" borderId="32" xfId="0" applyFont="1" applyBorder="1" applyAlignment="1">
      <alignment vertical="center" wrapText="1"/>
    </xf>
    <xf numFmtId="0" fontId="0" fillId="0" borderId="4" xfId="0" applyBorder="1" applyAlignment="1"/>
    <xf numFmtId="0" fontId="0" fillId="0" borderId="4" xfId="0" applyBorder="1" applyAlignment="1"/>
    <xf numFmtId="0" fontId="12" fillId="0" borderId="0" xfId="0" applyFont="1" applyBorder="1" applyAlignment="1"/>
    <xf numFmtId="0" fontId="0" fillId="0" borderId="0" xfId="0" applyBorder="1" applyAlignment="1">
      <alignment horizontal="left"/>
    </xf>
    <xf numFmtId="0" fontId="34" fillId="0" borderId="0" xfId="977" applyFont="1" applyFill="1" applyBorder="1" applyAlignment="1"/>
    <xf numFmtId="0" fontId="34" fillId="0" borderId="0" xfId="977" applyFont="1" applyFill="1" applyBorder="1" applyAlignment="1"/>
    <xf numFmtId="0" fontId="1" fillId="0" borderId="0" xfId="977" applyFill="1" applyBorder="1" applyAlignment="1"/>
    <xf numFmtId="0" fontId="1" fillId="0" borderId="0" xfId="977" applyFill="1" applyBorder="1" applyAlignment="1"/>
    <xf numFmtId="0" fontId="0" fillId="0" borderId="0" xfId="0" applyBorder="1" applyAlignment="1">
      <alignment horizontal="left"/>
    </xf>
    <xf numFmtId="0" fontId="4" fillId="0" borderId="34" xfId="0" applyFont="1" applyBorder="1" applyAlignment="1">
      <alignment vertical="top" wrapText="1"/>
    </xf>
    <xf numFmtId="0" fontId="0" fillId="0" borderId="4" xfId="0" applyBorder="1" applyAlignment="1"/>
    <xf numFmtId="0" fontId="43" fillId="0" borderId="1" xfId="0" applyFont="1" applyBorder="1" applyAlignment="1">
      <alignment horizontal="center" vertical="top" wrapText="1"/>
    </xf>
    <xf numFmtId="0" fontId="43" fillId="0" borderId="1" xfId="0" applyFont="1" applyBorder="1" applyAlignment="1">
      <alignment horizontal="left" vertical="top" wrapText="1"/>
    </xf>
    <xf numFmtId="0" fontId="40" fillId="35" borderId="28" xfId="0" applyFont="1" applyFill="1" applyBorder="1" applyAlignment="1">
      <alignment horizontal="center" vertical="center" wrapText="1"/>
    </xf>
    <xf numFmtId="0" fontId="0" fillId="0" borderId="0" xfId="0" applyBorder="1" applyAlignment="1">
      <alignment horizontal="left"/>
    </xf>
    <xf numFmtId="0" fontId="0" fillId="0" borderId="4" xfId="0" applyBorder="1" applyAlignment="1"/>
    <xf numFmtId="9" fontId="46" fillId="34" borderId="1" xfId="0" applyNumberFormat="1" applyFont="1" applyFill="1" applyBorder="1" applyAlignment="1" applyProtection="1">
      <alignment vertical="center"/>
      <protection locked="0"/>
    </xf>
    <xf numFmtId="0" fontId="16" fillId="0" borderId="0" xfId="890" applyFont="1" applyAlignment="1">
      <alignment wrapText="1"/>
    </xf>
    <xf numFmtId="0" fontId="17" fillId="0" borderId="0" xfId="890" applyFont="1" applyAlignment="1">
      <alignment wrapText="1"/>
    </xf>
    <xf numFmtId="0" fontId="15" fillId="0" borderId="0" xfId="890" applyFont="1" applyAlignment="1">
      <alignment wrapText="1"/>
    </xf>
    <xf numFmtId="0" fontId="15" fillId="0" borderId="0" xfId="890" applyAlignment="1">
      <alignment wrapText="1"/>
    </xf>
    <xf numFmtId="0" fontId="12" fillId="0" borderId="0" xfId="0" applyFont="1" applyAlignment="1">
      <alignment wrapText="1"/>
    </xf>
    <xf numFmtId="0" fontId="12" fillId="0" borderId="47" xfId="0" applyFont="1" applyBorder="1" applyAlignment="1">
      <alignment horizontal="center"/>
    </xf>
    <xf numFmtId="0" fontId="12" fillId="0" borderId="66" xfId="0" applyFont="1" applyBorder="1" applyAlignment="1">
      <alignment horizontal="center"/>
    </xf>
    <xf numFmtId="0" fontId="12" fillId="0" borderId="48" xfId="0" applyFont="1" applyBorder="1" applyAlignment="1">
      <alignment horizontal="center"/>
    </xf>
    <xf numFmtId="0" fontId="12" fillId="0" borderId="49" xfId="0" applyFont="1" applyBorder="1" applyAlignment="1">
      <alignment horizontal="center"/>
    </xf>
    <xf numFmtId="0" fontId="0" fillId="0" borderId="0" xfId="0" applyBorder="1" applyAlignment="1">
      <alignment horizontal="left"/>
    </xf>
    <xf numFmtId="0" fontId="0" fillId="0" borderId="57" xfId="0" applyBorder="1" applyAlignment="1">
      <alignment horizontal="left"/>
    </xf>
    <xf numFmtId="0" fontId="0" fillId="0" borderId="4" xfId="0" applyBorder="1" applyAlignment="1"/>
    <xf numFmtId="0" fontId="0" fillId="0" borderId="0" xfId="0" applyFont="1" applyBorder="1" applyAlignment="1"/>
    <xf numFmtId="0" fontId="0" fillId="0" borderId="0" xfId="0" applyAlignment="1">
      <alignment horizontal="left"/>
    </xf>
    <xf numFmtId="0" fontId="12" fillId="0" borderId="51" xfId="0" applyFont="1" applyBorder="1" applyAlignment="1">
      <alignment horizontal="left"/>
    </xf>
    <xf numFmtId="0" fontId="12" fillId="0" borderId="65" xfId="0" applyFont="1" applyBorder="1" applyAlignment="1">
      <alignment horizontal="left"/>
    </xf>
    <xf numFmtId="0" fontId="12" fillId="0" borderId="51" xfId="0" applyFont="1" applyBorder="1" applyAlignment="1"/>
    <xf numFmtId="0" fontId="0" fillId="0" borderId="4" xfId="0" applyBorder="1" applyAlignment="1">
      <alignment horizontal="left"/>
    </xf>
    <xf numFmtId="0" fontId="12" fillId="0" borderId="0" xfId="0" applyFont="1" applyBorder="1" applyAlignment="1">
      <alignment horizontal="left"/>
    </xf>
    <xf numFmtId="0" fontId="43" fillId="0" borderId="2" xfId="0" applyFont="1" applyBorder="1" applyAlignment="1">
      <alignment horizontal="center" vertical="top" wrapText="1"/>
    </xf>
    <xf numFmtId="0" fontId="43" fillId="0" borderId="36" xfId="0" applyFont="1" applyBorder="1" applyAlignment="1">
      <alignment horizontal="center" vertical="top" wrapText="1"/>
    </xf>
    <xf numFmtId="0" fontId="43" fillId="0" borderId="3" xfId="0" applyFont="1" applyBorder="1" applyAlignment="1">
      <alignment horizontal="center" vertical="top" wrapText="1"/>
    </xf>
    <xf numFmtId="0" fontId="43" fillId="0" borderId="26" xfId="0" applyFont="1" applyBorder="1" applyAlignment="1">
      <alignment horizontal="center" vertical="top" wrapText="1"/>
    </xf>
    <xf numFmtId="0" fontId="43" fillId="0" borderId="44" xfId="0" applyFont="1" applyBorder="1" applyAlignment="1">
      <alignment horizontal="center" vertical="top" wrapText="1"/>
    </xf>
    <xf numFmtId="0" fontId="40" fillId="35" borderId="28" xfId="0" applyFont="1" applyFill="1" applyBorder="1" applyAlignment="1">
      <alignment horizontal="center" vertical="center"/>
    </xf>
    <xf numFmtId="0" fontId="40" fillId="35" borderId="29" xfId="0" applyFont="1" applyFill="1" applyBorder="1" applyAlignment="1">
      <alignment horizontal="center" vertical="center"/>
    </xf>
    <xf numFmtId="0" fontId="34" fillId="0" borderId="1" xfId="0" applyFont="1" applyBorder="1" applyAlignment="1">
      <alignment horizontal="center"/>
    </xf>
    <xf numFmtId="0" fontId="34" fillId="0" borderId="31" xfId="0" applyFont="1" applyBorder="1" applyAlignment="1">
      <alignment horizontal="center"/>
    </xf>
    <xf numFmtId="0" fontId="40" fillId="35" borderId="67" xfId="0" applyFont="1" applyFill="1" applyBorder="1" applyAlignment="1">
      <alignment horizontal="center" vertical="center" wrapText="1"/>
    </xf>
    <xf numFmtId="0" fontId="40" fillId="35" borderId="39" xfId="0" applyFont="1" applyFill="1" applyBorder="1" applyAlignment="1">
      <alignment horizontal="center" vertical="center" wrapText="1"/>
    </xf>
    <xf numFmtId="0" fontId="43" fillId="0" borderId="1" xfId="0" applyFont="1" applyBorder="1" applyAlignment="1">
      <alignment horizontal="left" vertical="top" wrapText="1"/>
    </xf>
    <xf numFmtId="0" fontId="43" fillId="0" borderId="31" xfId="0" applyFont="1" applyBorder="1" applyAlignment="1">
      <alignment horizontal="left" vertical="top" wrapText="1"/>
    </xf>
    <xf numFmtId="0" fontId="43" fillId="0" borderId="1" xfId="0" applyFont="1" applyBorder="1" applyAlignment="1">
      <alignment horizontal="center" vertical="top" wrapText="1"/>
    </xf>
    <xf numFmtId="0" fontId="43" fillId="0" borderId="31" xfId="0" applyFont="1" applyBorder="1" applyAlignment="1">
      <alignment horizontal="center" vertical="top" wrapText="1"/>
    </xf>
    <xf numFmtId="0" fontId="5" fillId="0" borderId="1" xfId="0" applyFont="1" applyBorder="1" applyAlignment="1">
      <alignment horizontal="center"/>
    </xf>
    <xf numFmtId="0" fontId="6" fillId="0" borderId="1" xfId="0" applyFont="1" applyBorder="1" applyAlignment="1">
      <alignment horizontal="center"/>
    </xf>
    <xf numFmtId="0" fontId="6" fillId="0" borderId="31" xfId="0" applyFont="1" applyBorder="1" applyAlignment="1">
      <alignment horizontal="center"/>
    </xf>
    <xf numFmtId="0" fontId="6" fillId="0" borderId="34" xfId="0" applyFont="1" applyBorder="1" applyAlignment="1">
      <alignment horizontal="center"/>
    </xf>
    <xf numFmtId="0" fontId="6" fillId="0" borderId="0"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36"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40" xfId="0" applyFont="1" applyBorder="1" applyAlignment="1">
      <alignment horizontal="center"/>
    </xf>
    <xf numFmtId="0" fontId="43" fillId="0" borderId="24" xfId="0" applyFont="1" applyBorder="1" applyAlignment="1">
      <alignment horizontal="center" vertical="top" wrapText="1"/>
    </xf>
    <xf numFmtId="0" fontId="43" fillId="0" borderId="33" xfId="0" applyFont="1" applyBorder="1" applyAlignment="1">
      <alignment horizontal="center" vertical="top" wrapText="1"/>
    </xf>
    <xf numFmtId="0" fontId="34" fillId="38" borderId="30" xfId="0" applyFont="1" applyFill="1" applyBorder="1" applyAlignment="1">
      <alignment horizontal="center" vertical="center" wrapText="1"/>
    </xf>
    <xf numFmtId="0" fontId="34" fillId="38" borderId="1" xfId="0" applyFont="1" applyFill="1" applyBorder="1" applyAlignment="1">
      <alignment horizontal="center" vertical="center" wrapText="1"/>
    </xf>
    <xf numFmtId="0" fontId="34" fillId="38" borderId="31" xfId="0" applyFont="1" applyFill="1" applyBorder="1" applyAlignment="1">
      <alignment horizontal="center" vertical="center" wrapText="1"/>
    </xf>
    <xf numFmtId="0" fontId="6" fillId="0" borderId="12" xfId="0" applyFont="1" applyBorder="1" applyAlignment="1">
      <alignment horizontal="center"/>
    </xf>
    <xf numFmtId="0" fontId="6" fillId="0" borderId="45" xfId="0" applyFont="1" applyBorder="1" applyAlignment="1">
      <alignment horizontal="center"/>
    </xf>
    <xf numFmtId="0" fontId="6" fillId="0" borderId="13" xfId="0" applyFont="1" applyBorder="1" applyAlignment="1">
      <alignment horizontal="center"/>
    </xf>
    <xf numFmtId="0" fontId="6" fillId="0" borderId="46" xfId="0" applyFont="1" applyBorder="1" applyAlignment="1">
      <alignment horizontal="center"/>
    </xf>
    <xf numFmtId="0" fontId="39" fillId="37" borderId="38" xfId="0" applyFont="1" applyFill="1" applyBorder="1" applyAlignment="1">
      <alignment horizontal="center" vertical="center" wrapText="1"/>
    </xf>
    <xf numFmtId="0" fontId="39" fillId="37" borderId="39" xfId="0" applyFont="1" applyFill="1" applyBorder="1" applyAlignment="1">
      <alignment horizontal="center" vertical="center" wrapText="1"/>
    </xf>
    <xf numFmtId="0" fontId="6" fillId="0" borderId="4" xfId="0" applyFont="1" applyBorder="1" applyAlignment="1">
      <alignment horizontal="center"/>
    </xf>
    <xf numFmtId="0" fontId="6" fillId="0" borderId="35" xfId="0" applyFont="1" applyBorder="1" applyAlignment="1">
      <alignment horizontal="center"/>
    </xf>
    <xf numFmtId="0" fontId="47" fillId="39" borderId="37" xfId="0" applyFont="1" applyFill="1" applyBorder="1" applyAlignment="1">
      <alignment horizontal="left" vertical="center" wrapText="1"/>
    </xf>
    <xf numFmtId="0" fontId="47" fillId="39" borderId="36" xfId="0" applyFont="1" applyFill="1" applyBorder="1" applyAlignment="1">
      <alignment horizontal="left" vertical="center" wrapText="1"/>
    </xf>
    <xf numFmtId="0" fontId="39" fillId="35" borderId="27" xfId="0" applyFont="1" applyFill="1" applyBorder="1" applyAlignment="1">
      <alignment horizontal="center" vertical="center"/>
    </xf>
    <xf numFmtId="0" fontId="39" fillId="35" borderId="28" xfId="0" applyFont="1" applyFill="1" applyBorder="1" applyAlignment="1">
      <alignment horizontal="center" vertical="center"/>
    </xf>
    <xf numFmtId="0" fontId="39" fillId="35" borderId="29" xfId="0" applyFont="1" applyFill="1" applyBorder="1" applyAlignment="1">
      <alignment horizontal="center" vertical="center"/>
    </xf>
    <xf numFmtId="0" fontId="40" fillId="35" borderId="28" xfId="0" applyFont="1" applyFill="1" applyBorder="1" applyAlignment="1">
      <alignment horizontal="center" vertical="center" wrapText="1"/>
    </xf>
    <xf numFmtId="0" fontId="40" fillId="35" borderId="29" xfId="0" applyFont="1" applyFill="1" applyBorder="1" applyAlignment="1">
      <alignment horizontal="center" vertical="center" wrapText="1"/>
    </xf>
    <xf numFmtId="0" fontId="47" fillId="0" borderId="37" xfId="0" applyFont="1" applyBorder="1" applyAlignment="1">
      <alignment horizontal="left" vertical="center" wrapText="1"/>
    </xf>
    <xf numFmtId="0" fontId="47" fillId="0" borderId="36" xfId="0" applyFont="1" applyBorder="1" applyAlignment="1">
      <alignment horizontal="left" vertical="center" wrapText="1"/>
    </xf>
    <xf numFmtId="0" fontId="47" fillId="0" borderId="37" xfId="0" applyFont="1" applyBorder="1" applyAlignment="1">
      <alignment horizontal="left"/>
    </xf>
    <xf numFmtId="0" fontId="47" fillId="0" borderId="36" xfId="0" applyFont="1" applyBorder="1" applyAlignment="1">
      <alignment horizontal="left"/>
    </xf>
    <xf numFmtId="0" fontId="6" fillId="0" borderId="14" xfId="0" applyFont="1" applyBorder="1" applyAlignment="1">
      <alignment horizontal="center"/>
    </xf>
    <xf numFmtId="0" fontId="6" fillId="0" borderId="61" xfId="0" applyFont="1" applyBorder="1" applyAlignment="1">
      <alignment horizontal="center"/>
    </xf>
    <xf numFmtId="0" fontId="6" fillId="0" borderId="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34" fillId="38" borderId="41" xfId="0" applyFont="1" applyFill="1" applyBorder="1" applyAlignment="1">
      <alignment horizontal="center" vertical="center" wrapText="1"/>
    </xf>
    <xf numFmtId="0" fontId="34" fillId="38" borderId="10" xfId="0" applyFont="1" applyFill="1" applyBorder="1" applyAlignment="1">
      <alignment horizontal="center" vertical="center" wrapText="1"/>
    </xf>
    <xf numFmtId="0" fontId="34" fillId="38" borderId="42" xfId="0" applyFont="1" applyFill="1" applyBorder="1" applyAlignment="1">
      <alignment horizontal="center" vertical="center" wrapText="1"/>
    </xf>
    <xf numFmtId="0" fontId="45" fillId="38" borderId="47" xfId="0" applyFont="1" applyFill="1" applyBorder="1" applyAlignment="1">
      <alignment horizontal="center" vertical="top" wrapText="1"/>
    </xf>
    <xf numFmtId="0" fontId="45" fillId="38" borderId="48" xfId="0" applyFont="1" applyFill="1" applyBorder="1" applyAlignment="1">
      <alignment horizontal="center" vertical="top" wrapText="1"/>
    </xf>
    <xf numFmtId="0" fontId="45" fillId="38" borderId="49" xfId="0" applyFont="1" applyFill="1" applyBorder="1" applyAlignment="1">
      <alignment horizontal="center" vertical="top" wrapText="1"/>
    </xf>
    <xf numFmtId="0" fontId="6" fillId="0" borderId="57" xfId="0" applyFont="1" applyBorder="1" applyAlignment="1">
      <alignment horizontal="center"/>
    </xf>
    <xf numFmtId="0" fontId="34" fillId="38" borderId="32" xfId="0" applyFont="1" applyFill="1" applyBorder="1" applyAlignment="1">
      <alignment horizontal="center" vertical="center" wrapText="1"/>
    </xf>
    <xf numFmtId="0" fontId="34" fillId="38" borderId="24" xfId="0" applyFont="1" applyFill="1" applyBorder="1" applyAlignment="1">
      <alignment horizontal="center" vertical="center" wrapText="1"/>
    </xf>
    <xf numFmtId="0" fontId="34" fillId="38" borderId="33" xfId="0" applyFont="1" applyFill="1" applyBorder="1" applyAlignment="1">
      <alignment horizontal="center" vertical="center" wrapText="1"/>
    </xf>
    <xf numFmtId="0" fontId="6" fillId="0" borderId="53" xfId="0" quotePrefix="1" applyFont="1" applyBorder="1" applyAlignment="1">
      <alignment horizontal="center" vertical="top" wrapText="1"/>
    </xf>
    <xf numFmtId="0" fontId="6" fillId="0" borderId="54" xfId="0" quotePrefix="1" applyFont="1" applyBorder="1" applyAlignment="1">
      <alignment horizontal="center" vertical="top" wrapText="1"/>
    </xf>
    <xf numFmtId="0" fontId="6" fillId="0" borderId="55" xfId="0" quotePrefix="1" applyFont="1" applyBorder="1" applyAlignment="1">
      <alignment horizontal="center" vertical="top" wrapText="1"/>
    </xf>
    <xf numFmtId="0" fontId="6" fillId="0" borderId="70" xfId="0" applyFont="1" applyBorder="1" applyAlignment="1">
      <alignment horizontal="center"/>
    </xf>
    <xf numFmtId="0" fontId="6" fillId="0" borderId="54" xfId="0" applyFont="1" applyBorder="1" applyAlignment="1">
      <alignment horizontal="center"/>
    </xf>
    <xf numFmtId="0" fontId="6" fillId="0" borderId="55"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24" xfId="0" applyFont="1" applyBorder="1" applyAlignment="1">
      <alignment horizontal="center"/>
    </xf>
    <xf numFmtId="0" fontId="6" fillId="0" borderId="33" xfId="0" applyFont="1" applyBorder="1" applyAlignment="1">
      <alignment horizontal="center"/>
    </xf>
    <xf numFmtId="0" fontId="43" fillId="0" borderId="0" xfId="0" applyFont="1" applyBorder="1" applyAlignment="1">
      <alignment horizontal="left" vertical="top" wrapText="1"/>
    </xf>
    <xf numFmtId="0" fontId="46" fillId="34" borderId="37" xfId="0" applyFont="1" applyFill="1" applyBorder="1" applyAlignment="1" applyProtection="1">
      <alignment horizontal="center" vertical="center"/>
      <protection locked="0"/>
    </xf>
    <xf numFmtId="0" fontId="46" fillId="34" borderId="3" xfId="0" applyFont="1" applyFill="1" applyBorder="1" applyAlignment="1" applyProtection="1">
      <alignment horizontal="center" vertical="center"/>
      <protection locked="0"/>
    </xf>
    <xf numFmtId="0" fontId="46" fillId="34" borderId="36" xfId="0" applyFont="1" applyFill="1" applyBorder="1" applyAlignment="1" applyProtection="1">
      <alignment horizontal="center" vertical="center"/>
      <protection locked="0"/>
    </xf>
    <xf numFmtId="0" fontId="46" fillId="34" borderId="2" xfId="0" applyFont="1" applyFill="1" applyBorder="1" applyAlignment="1" applyProtection="1">
      <alignment horizontal="center" vertical="center"/>
      <protection locked="0"/>
    </xf>
    <xf numFmtId="0" fontId="40" fillId="0" borderId="47" xfId="0" applyFont="1" applyBorder="1" applyAlignment="1">
      <alignment horizontal="center"/>
    </xf>
    <xf numFmtId="0" fontId="40" fillId="0" borderId="48" xfId="0" applyFont="1" applyBorder="1" applyAlignment="1">
      <alignment horizontal="center"/>
    </xf>
    <xf numFmtId="0" fontId="40" fillId="0" borderId="49" xfId="0" applyFont="1" applyBorder="1" applyAlignment="1">
      <alignment horizontal="center"/>
    </xf>
    <xf numFmtId="0" fontId="46" fillId="34" borderId="43" xfId="0" applyFont="1" applyFill="1" applyBorder="1" applyAlignment="1" applyProtection="1">
      <alignment horizontal="center" vertical="center"/>
      <protection locked="0"/>
    </xf>
    <xf numFmtId="0" fontId="46" fillId="34" borderId="26" xfId="0" applyFont="1" applyFill="1" applyBorder="1" applyAlignment="1" applyProtection="1">
      <alignment horizontal="center" vertical="center"/>
      <protection locked="0"/>
    </xf>
    <xf numFmtId="0" fontId="46" fillId="34" borderId="44" xfId="0" applyFont="1" applyFill="1" applyBorder="1" applyAlignment="1" applyProtection="1">
      <alignment horizontal="center" vertical="center"/>
      <protection locked="0"/>
    </xf>
    <xf numFmtId="0" fontId="46" fillId="34" borderId="25" xfId="0" applyFont="1" applyFill="1" applyBorder="1" applyAlignment="1" applyProtection="1">
      <alignment horizontal="center" vertical="center"/>
      <protection locked="0"/>
    </xf>
    <xf numFmtId="0" fontId="40" fillId="35" borderId="59" xfId="0" applyFont="1" applyFill="1" applyBorder="1" applyAlignment="1">
      <alignment horizontal="center" vertical="center" wrapText="1"/>
    </xf>
    <xf numFmtId="0" fontId="40" fillId="35" borderId="51" xfId="0" applyFont="1" applyFill="1" applyBorder="1" applyAlignment="1">
      <alignment horizontal="center" vertical="center" wrapText="1"/>
    </xf>
    <xf numFmtId="0" fontId="40" fillId="35" borderId="52" xfId="0" applyFont="1" applyFill="1" applyBorder="1" applyAlignment="1">
      <alignment horizontal="center" vertical="center" wrapText="1"/>
    </xf>
    <xf numFmtId="0" fontId="40" fillId="35" borderId="68" xfId="0" applyFont="1" applyFill="1" applyBorder="1" applyAlignment="1">
      <alignment horizontal="center" vertical="center" wrapText="1"/>
    </xf>
    <xf numFmtId="0" fontId="34" fillId="0" borderId="43" xfId="0" applyFont="1" applyBorder="1" applyAlignment="1">
      <alignment horizontal="center" wrapText="1"/>
    </xf>
    <xf numFmtId="0" fontId="34" fillId="0" borderId="26" xfId="0" applyFont="1" applyBorder="1" applyAlignment="1">
      <alignment horizontal="center" wrapText="1"/>
    </xf>
    <xf numFmtId="0" fontId="34" fillId="0" borderId="44" xfId="0" applyFont="1" applyBorder="1" applyAlignment="1">
      <alignment horizontal="center" wrapText="1"/>
    </xf>
    <xf numFmtId="0" fontId="12" fillId="0" borderId="6" xfId="0" applyFont="1" applyBorder="1" applyAlignment="1">
      <alignment horizontal="left" vertical="top" wrapText="1"/>
    </xf>
    <xf numFmtId="0" fontId="12" fillId="0" borderId="4" xfId="0" applyFont="1" applyBorder="1" applyAlignment="1">
      <alignment horizontal="left" vertical="top" wrapText="1"/>
    </xf>
    <xf numFmtId="0" fontId="12" fillId="0" borderId="12" xfId="0" applyFont="1" applyBorder="1" applyAlignment="1">
      <alignment horizontal="left" vertical="top"/>
    </xf>
    <xf numFmtId="0" fontId="12" fillId="0" borderId="13" xfId="0" applyFont="1" applyBorder="1" applyAlignment="1">
      <alignment horizontal="left" vertical="top"/>
    </xf>
    <xf numFmtId="0" fontId="0" fillId="0" borderId="3" xfId="0" quotePrefix="1" applyBorder="1" applyAlignment="1">
      <alignment horizontal="center" vertical="top" wrapText="1"/>
    </xf>
    <xf numFmtId="0" fontId="0" fillId="0" borderId="5" xfId="0" quotePrefix="1" applyBorder="1" applyAlignment="1">
      <alignment horizontal="center" vertical="top" wrapText="1"/>
    </xf>
    <xf numFmtId="0" fontId="12" fillId="0" borderId="7" xfId="0" applyFont="1" applyBorder="1" applyAlignment="1">
      <alignment horizontal="center" vertical="top"/>
    </xf>
    <xf numFmtId="0" fontId="12" fillId="0" borderId="8" xfId="0" applyFont="1" applyBorder="1" applyAlignment="1">
      <alignment horizontal="center" vertical="top"/>
    </xf>
    <xf numFmtId="0" fontId="0" fillId="0" borderId="2" xfId="0" quotePrefix="1" applyBorder="1" applyAlignment="1">
      <alignment horizontal="center" vertical="top" wrapText="1"/>
    </xf>
  </cellXfs>
  <cellStyles count="1038">
    <cellStyle name="20% - Accent1" xfId="909" builtinId="30" customBuiltin="1"/>
    <cellStyle name="20% - Accent1 2" xfId="936"/>
    <cellStyle name="20% - Accent1 2 2" xfId="997"/>
    <cellStyle name="20% - Accent1 3" xfId="950"/>
    <cellStyle name="20% - Accent1 3 2" xfId="1011"/>
    <cellStyle name="20% - Accent1 4" xfId="964"/>
    <cellStyle name="20% - Accent1 4 2" xfId="1025"/>
    <cellStyle name="20% - Accent1 5" xfId="978"/>
    <cellStyle name="20% - Accent2" xfId="913" builtinId="34" customBuiltin="1"/>
    <cellStyle name="20% - Accent2 2" xfId="938"/>
    <cellStyle name="20% - Accent2 2 2" xfId="999"/>
    <cellStyle name="20% - Accent2 3" xfId="952"/>
    <cellStyle name="20% - Accent2 3 2" xfId="1013"/>
    <cellStyle name="20% - Accent2 4" xfId="966"/>
    <cellStyle name="20% - Accent2 4 2" xfId="1027"/>
    <cellStyle name="20% - Accent2 5" xfId="980"/>
    <cellStyle name="20% - Accent3" xfId="917" builtinId="38" customBuiltin="1"/>
    <cellStyle name="20% - Accent3 2" xfId="940"/>
    <cellStyle name="20% - Accent3 2 2" xfId="1001"/>
    <cellStyle name="20% - Accent3 3" xfId="954"/>
    <cellStyle name="20% - Accent3 3 2" xfId="1015"/>
    <cellStyle name="20% - Accent3 4" xfId="968"/>
    <cellStyle name="20% - Accent3 4 2" xfId="1029"/>
    <cellStyle name="20% - Accent3 5" xfId="982"/>
    <cellStyle name="20% - Accent4" xfId="921" builtinId="42" customBuiltin="1"/>
    <cellStyle name="20% - Accent4 2" xfId="942"/>
    <cellStyle name="20% - Accent4 2 2" xfId="1003"/>
    <cellStyle name="20% - Accent4 3" xfId="956"/>
    <cellStyle name="20% - Accent4 3 2" xfId="1017"/>
    <cellStyle name="20% - Accent4 4" xfId="970"/>
    <cellStyle name="20% - Accent4 4 2" xfId="1031"/>
    <cellStyle name="20% - Accent4 5" xfId="984"/>
    <cellStyle name="20% - Accent5" xfId="925" builtinId="46" customBuiltin="1"/>
    <cellStyle name="20% - Accent5 2" xfId="944"/>
    <cellStyle name="20% - Accent5 2 2" xfId="1005"/>
    <cellStyle name="20% - Accent5 3" xfId="958"/>
    <cellStyle name="20% - Accent5 3 2" xfId="1019"/>
    <cellStyle name="20% - Accent5 4" xfId="972"/>
    <cellStyle name="20% - Accent5 4 2" xfId="1033"/>
    <cellStyle name="20% - Accent5 5" xfId="986"/>
    <cellStyle name="20% - Accent6" xfId="929" builtinId="50" customBuiltin="1"/>
    <cellStyle name="20% - Accent6 2" xfId="946"/>
    <cellStyle name="20% - Accent6 2 2" xfId="1007"/>
    <cellStyle name="20% - Accent6 3" xfId="960"/>
    <cellStyle name="20% - Accent6 3 2" xfId="1021"/>
    <cellStyle name="20% - Accent6 4" xfId="974"/>
    <cellStyle name="20% - Accent6 4 2" xfId="1035"/>
    <cellStyle name="20% - Accent6 5" xfId="988"/>
    <cellStyle name="40% - Accent1" xfId="910" builtinId="31" customBuiltin="1"/>
    <cellStyle name="40% - Accent1 2" xfId="937"/>
    <cellStyle name="40% - Accent1 2 2" xfId="998"/>
    <cellStyle name="40% - Accent1 3" xfId="951"/>
    <cellStyle name="40% - Accent1 3 2" xfId="1012"/>
    <cellStyle name="40% - Accent1 4" xfId="965"/>
    <cellStyle name="40% - Accent1 4 2" xfId="1026"/>
    <cellStyle name="40% - Accent1 5" xfId="979"/>
    <cellStyle name="40% - Accent2" xfId="914" builtinId="35" customBuiltin="1"/>
    <cellStyle name="40% - Accent2 2" xfId="939"/>
    <cellStyle name="40% - Accent2 2 2" xfId="1000"/>
    <cellStyle name="40% - Accent2 3" xfId="953"/>
    <cellStyle name="40% - Accent2 3 2" xfId="1014"/>
    <cellStyle name="40% - Accent2 4" xfId="967"/>
    <cellStyle name="40% - Accent2 4 2" xfId="1028"/>
    <cellStyle name="40% - Accent2 5" xfId="981"/>
    <cellStyle name="40% - Accent3" xfId="918" builtinId="39" customBuiltin="1"/>
    <cellStyle name="40% - Accent3 2" xfId="941"/>
    <cellStyle name="40% - Accent3 2 2" xfId="1002"/>
    <cellStyle name="40% - Accent3 3" xfId="955"/>
    <cellStyle name="40% - Accent3 3 2" xfId="1016"/>
    <cellStyle name="40% - Accent3 4" xfId="969"/>
    <cellStyle name="40% - Accent3 4 2" xfId="1030"/>
    <cellStyle name="40% - Accent3 5" xfId="983"/>
    <cellStyle name="40% - Accent4" xfId="922" builtinId="43" customBuiltin="1"/>
    <cellStyle name="40% - Accent4 2" xfId="943"/>
    <cellStyle name="40% - Accent4 2 2" xfId="1004"/>
    <cellStyle name="40% - Accent4 3" xfId="957"/>
    <cellStyle name="40% - Accent4 3 2" xfId="1018"/>
    <cellStyle name="40% - Accent4 4" xfId="971"/>
    <cellStyle name="40% - Accent4 4 2" xfId="1032"/>
    <cellStyle name="40% - Accent4 5" xfId="985"/>
    <cellStyle name="40% - Accent5" xfId="926" builtinId="47" customBuiltin="1"/>
    <cellStyle name="40% - Accent5 2" xfId="945"/>
    <cellStyle name="40% - Accent5 2 2" xfId="1006"/>
    <cellStyle name="40% - Accent5 3" xfId="959"/>
    <cellStyle name="40% - Accent5 3 2" xfId="1020"/>
    <cellStyle name="40% - Accent5 4" xfId="973"/>
    <cellStyle name="40% - Accent5 4 2" xfId="1034"/>
    <cellStyle name="40% - Accent5 5" xfId="987"/>
    <cellStyle name="40% - Accent6" xfId="930" builtinId="51" customBuiltin="1"/>
    <cellStyle name="40% - Accent6 2" xfId="947"/>
    <cellStyle name="40% - Accent6 2 2" xfId="1008"/>
    <cellStyle name="40% - Accent6 3" xfId="961"/>
    <cellStyle name="40% - Accent6 3 2" xfId="1022"/>
    <cellStyle name="40% - Accent6 4" xfId="975"/>
    <cellStyle name="40% - Accent6 4 2" xfId="1036"/>
    <cellStyle name="40% - Accent6 5" xfId="989"/>
    <cellStyle name="60% - Accent1" xfId="911" builtinId="32" customBuiltin="1"/>
    <cellStyle name="60% - Accent2" xfId="915" builtinId="36" customBuiltin="1"/>
    <cellStyle name="60% - Accent3" xfId="919" builtinId="40" customBuiltin="1"/>
    <cellStyle name="60% - Accent4" xfId="923" builtinId="44" customBuiltin="1"/>
    <cellStyle name="60% - Accent5" xfId="927" builtinId="48" customBuiltin="1"/>
    <cellStyle name="60% - Accent6" xfId="931" builtinId="52" customBuiltin="1"/>
    <cellStyle name="Accent1" xfId="908" builtinId="29" customBuiltin="1"/>
    <cellStyle name="Accent2" xfId="912" builtinId="33" customBuiltin="1"/>
    <cellStyle name="Accent3" xfId="916" builtinId="37" customBuiltin="1"/>
    <cellStyle name="Accent4" xfId="920" builtinId="41" customBuiltin="1"/>
    <cellStyle name="Accent5" xfId="924" builtinId="45" customBuiltin="1"/>
    <cellStyle name="Accent6" xfId="928" builtinId="49" customBuiltin="1"/>
    <cellStyle name="Bad" xfId="898" builtinId="27" customBuiltin="1"/>
    <cellStyle name="Calculation" xfId="902" builtinId="22" customBuiltin="1"/>
    <cellStyle name="Check Cell" xfId="904" builtinId="23" customBuiltin="1"/>
    <cellStyle name="Explanatory Text" xfId="906" builtinId="53" customBuiltin="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Good" xfId="897" builtinId="26" customBuiltin="1"/>
    <cellStyle name="Heading 1" xfId="893" builtinId="16" customBuiltin="1"/>
    <cellStyle name="Heading 2" xfId="894" builtinId="17" customBuiltin="1"/>
    <cellStyle name="Heading 3" xfId="895" builtinId="18" customBuiltin="1"/>
    <cellStyle name="Heading 4" xfId="896" builtinId="19" customBuilti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Input" xfId="900" builtinId="20" customBuiltin="1"/>
    <cellStyle name="Linked Cell" xfId="903" builtinId="24" customBuiltin="1"/>
    <cellStyle name="Neutral" xfId="899" builtinId="28" customBuiltin="1"/>
    <cellStyle name="Normal" xfId="0" builtinId="0"/>
    <cellStyle name="Normal 10" xfId="977"/>
    <cellStyle name="Normal 2" xfId="890"/>
    <cellStyle name="Normal 3" xfId="889"/>
    <cellStyle name="Normal 3 2" xfId="991"/>
    <cellStyle name="Normal 4" xfId="891"/>
    <cellStyle name="Normal 4 2" xfId="992"/>
    <cellStyle name="Normal 5" xfId="932"/>
    <cellStyle name="Normal 5 2" xfId="993"/>
    <cellStyle name="Normal 6" xfId="934"/>
    <cellStyle name="Normal 6 2" xfId="995"/>
    <cellStyle name="Normal 7" xfId="948"/>
    <cellStyle name="Normal 7 2" xfId="1009"/>
    <cellStyle name="Normal 8" xfId="962"/>
    <cellStyle name="Normal 8 2" xfId="1023"/>
    <cellStyle name="Normal 9" xfId="990"/>
    <cellStyle name="Note 2" xfId="933"/>
    <cellStyle name="Note 2 2" xfId="994"/>
    <cellStyle name="Note 3" xfId="935"/>
    <cellStyle name="Note 3 2" xfId="996"/>
    <cellStyle name="Note 4" xfId="949"/>
    <cellStyle name="Note 4 2" xfId="1010"/>
    <cellStyle name="Note 5" xfId="963"/>
    <cellStyle name="Note 5 2" xfId="1024"/>
    <cellStyle name="Output" xfId="901" builtinId="21" customBuiltin="1"/>
    <cellStyle name="Percent" xfId="976" builtinId="5"/>
    <cellStyle name="Percent 2" xfId="1037"/>
    <cellStyle name="Title" xfId="892" builtinId="15" customBuiltin="1"/>
    <cellStyle name="Total" xfId="907" builtinId="25" customBuiltin="1"/>
    <cellStyle name="Warning Text" xfId="905" builtinId="11" customBuiltin="1"/>
  </cellStyles>
  <dxfs count="0"/>
  <tableStyles count="0" defaultTableStyle="TableStyleMedium9" defaultPivotStyle="PivotStyleLight16"/>
  <colors>
    <mruColors>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228600</xdr:colOff>
          <xdr:row>13</xdr:row>
          <xdr:rowOff>83820</xdr:rowOff>
        </xdr:to>
        <xdr:sp macro="" textlink="">
          <xdr:nvSpPr>
            <xdr:cNvPr id="4105" name="Object 9" hidden="1">
              <a:extLst>
                <a:ext uri="{63B3BB69-23CF-44E3-9099-C40C66FF867C}">
                  <a14:compatExt spid="_x0000_s4105"/>
                </a:ext>
                <a:ext uri="{FF2B5EF4-FFF2-40B4-BE49-F238E27FC236}">
                  <a16:creationId xmlns="" xmlns:a16="http://schemas.microsoft.com/office/drawing/2014/main" id="{00000000-0008-0000-0100-000009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showRowColHeaders="0" workbookViewId="0">
      <selection activeCell="C3" sqref="C3"/>
    </sheetView>
  </sheetViews>
  <sheetFormatPr defaultColWidth="9" defaultRowHeight="15.6" x14ac:dyDescent="0.3"/>
  <cols>
    <col min="1" max="1" width="114" style="23" customWidth="1"/>
    <col min="2" max="16384" width="9" style="23"/>
  </cols>
  <sheetData>
    <row r="1" spans="1:12" ht="17.399999999999999" x14ac:dyDescent="0.3">
      <c r="A1" s="227" t="s">
        <v>18</v>
      </c>
      <c r="B1" s="228"/>
      <c r="C1" s="228"/>
      <c r="D1" s="228"/>
      <c r="E1" s="228"/>
      <c r="F1" s="228"/>
      <c r="G1" s="228"/>
      <c r="H1" s="228"/>
      <c r="I1" s="228"/>
      <c r="J1" s="228"/>
      <c r="K1" s="228"/>
      <c r="L1" s="228"/>
    </row>
    <row r="3" spans="1:12" ht="26.4" x14ac:dyDescent="0.3">
      <c r="A3" s="25" t="s">
        <v>27</v>
      </c>
      <c r="B3" s="26"/>
      <c r="C3" s="26"/>
      <c r="D3" s="26"/>
      <c r="E3" s="26"/>
      <c r="F3" s="26"/>
      <c r="G3" s="26"/>
      <c r="H3" s="26"/>
      <c r="I3" s="26"/>
      <c r="J3" s="26"/>
      <c r="K3" s="26"/>
      <c r="L3" s="26"/>
    </row>
    <row r="5" spans="1:12" ht="26.4" x14ac:dyDescent="0.3">
      <c r="A5" s="25" t="s">
        <v>167</v>
      </c>
      <c r="B5" s="24"/>
      <c r="C5" s="24"/>
      <c r="D5" s="24"/>
      <c r="E5" s="24"/>
      <c r="F5" s="24"/>
      <c r="G5" s="24"/>
      <c r="H5" s="24"/>
      <c r="I5" s="24"/>
      <c r="J5" s="24"/>
      <c r="K5" s="24"/>
      <c r="L5" s="24"/>
    </row>
    <row r="7" spans="1:12" ht="92.4" x14ac:dyDescent="0.3">
      <c r="A7" s="25" t="s">
        <v>137</v>
      </c>
      <c r="B7" s="24"/>
      <c r="C7" s="24"/>
      <c r="D7" s="24"/>
      <c r="E7" s="24"/>
      <c r="F7" s="24"/>
      <c r="G7" s="24"/>
      <c r="H7" s="24"/>
      <c r="I7" s="24"/>
      <c r="J7" s="24"/>
      <c r="K7" s="24"/>
      <c r="L7" s="24"/>
    </row>
    <row r="8" spans="1:12" ht="39.6" x14ac:dyDescent="0.3">
      <c r="A8" s="27" t="s">
        <v>15</v>
      </c>
      <c r="B8" s="24"/>
      <c r="C8" s="24"/>
      <c r="D8" s="24"/>
      <c r="E8" s="24"/>
      <c r="F8" s="24"/>
      <c r="G8" s="24"/>
      <c r="H8" s="24"/>
      <c r="I8" s="24"/>
      <c r="J8" s="24"/>
      <c r="K8" s="24"/>
      <c r="L8" s="24"/>
    </row>
    <row r="9" spans="1:12" ht="39.6" x14ac:dyDescent="0.3">
      <c r="A9" s="25" t="s">
        <v>16</v>
      </c>
      <c r="B9" s="24"/>
      <c r="C9" s="24"/>
      <c r="D9" s="24"/>
      <c r="E9" s="24"/>
      <c r="F9" s="24"/>
      <c r="G9" s="24"/>
      <c r="H9" s="24"/>
      <c r="I9" s="24"/>
      <c r="J9" s="24"/>
      <c r="K9" s="24"/>
      <c r="L9" s="24"/>
    </row>
    <row r="10" spans="1:12" x14ac:dyDescent="0.3">
      <c r="A10" s="25" t="s">
        <v>17</v>
      </c>
      <c r="B10" s="26"/>
      <c r="C10" s="26"/>
      <c r="D10" s="26"/>
      <c r="E10" s="26"/>
      <c r="F10" s="26"/>
      <c r="G10" s="26"/>
      <c r="H10" s="26"/>
      <c r="I10" s="26"/>
      <c r="J10" s="26"/>
      <c r="K10" s="26"/>
      <c r="L10" s="26"/>
    </row>
    <row r="11" spans="1:12" ht="26.4" x14ac:dyDescent="0.3">
      <c r="A11" s="25" t="s">
        <v>49</v>
      </c>
      <c r="B11" s="24"/>
      <c r="C11" s="24"/>
      <c r="D11" s="24"/>
      <c r="E11" s="24"/>
      <c r="F11" s="24"/>
      <c r="G11" s="24"/>
      <c r="H11" s="24"/>
      <c r="I11" s="24"/>
      <c r="J11" s="24"/>
      <c r="K11" s="24"/>
      <c r="L11" s="24"/>
    </row>
    <row r="12" spans="1:12" ht="26.4" x14ac:dyDescent="0.3">
      <c r="A12" s="25" t="s">
        <v>136</v>
      </c>
      <c r="B12" s="24"/>
      <c r="C12" s="24"/>
      <c r="D12" s="24"/>
      <c r="E12" s="24"/>
      <c r="F12" s="24"/>
      <c r="G12" s="24"/>
      <c r="H12" s="24"/>
      <c r="I12" s="24"/>
      <c r="J12" s="24"/>
      <c r="K12" s="24"/>
      <c r="L12" s="24"/>
    </row>
    <row r="13" spans="1:12" x14ac:dyDescent="0.3">
      <c r="A13" s="26"/>
      <c r="B13" s="24"/>
      <c r="C13" s="24"/>
      <c r="D13" s="24"/>
      <c r="E13" s="24"/>
      <c r="F13" s="24"/>
      <c r="G13" s="24"/>
      <c r="H13" s="24"/>
      <c r="I13" s="24"/>
      <c r="J13" s="24"/>
      <c r="K13" s="24"/>
      <c r="L13" s="24"/>
    </row>
    <row r="14" spans="1:12" x14ac:dyDescent="0.3">
      <c r="A14" s="229" t="s">
        <v>166</v>
      </c>
      <c r="B14" s="230"/>
      <c r="C14" s="230"/>
      <c r="D14" s="230"/>
      <c r="E14" s="230"/>
      <c r="F14" s="230"/>
      <c r="G14" s="230"/>
      <c r="H14" s="230"/>
      <c r="I14" s="230"/>
      <c r="J14" s="230"/>
      <c r="K14" s="230"/>
      <c r="L14" s="230"/>
    </row>
  </sheetData>
  <mergeCells count="2">
    <mergeCell ref="A1:L1"/>
    <mergeCell ref="A14: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6"/>
  <sheetViews>
    <sheetView tabSelected="1" topLeftCell="A4" workbookViewId="0">
      <selection activeCell="A18" sqref="A18"/>
    </sheetView>
  </sheetViews>
  <sheetFormatPr defaultRowHeight="15.6" x14ac:dyDescent="0.3"/>
  <cols>
    <col min="9" max="9" width="9" customWidth="1"/>
  </cols>
  <sheetData>
    <row r="1" spans="1:9" x14ac:dyDescent="0.3">
      <c r="A1" s="231" t="s">
        <v>50</v>
      </c>
      <c r="B1" s="231"/>
      <c r="C1" s="231"/>
      <c r="D1" s="231"/>
      <c r="E1" s="231"/>
      <c r="F1" s="231"/>
      <c r="G1" s="231"/>
      <c r="H1" s="231"/>
      <c r="I1" s="231"/>
    </row>
    <row r="2" spans="1:9" x14ac:dyDescent="0.3">
      <c r="A2" s="231"/>
      <c r="B2" s="231"/>
      <c r="C2" s="231"/>
      <c r="D2" s="231"/>
      <c r="E2" s="231"/>
      <c r="F2" s="231"/>
      <c r="G2" s="231"/>
      <c r="H2" s="231"/>
      <c r="I2" s="231"/>
    </row>
    <row r="3" spans="1:9" x14ac:dyDescent="0.3">
      <c r="A3" s="231"/>
      <c r="B3" s="231"/>
      <c r="C3" s="231"/>
      <c r="D3" s="231"/>
      <c r="E3" s="231"/>
      <c r="F3" s="231"/>
      <c r="G3" s="231"/>
      <c r="H3" s="231"/>
      <c r="I3" s="231"/>
    </row>
    <row r="4" spans="1:9" x14ac:dyDescent="0.3">
      <c r="A4" s="231"/>
      <c r="B4" s="231"/>
      <c r="C4" s="231"/>
      <c r="D4" s="231"/>
      <c r="E4" s="231"/>
      <c r="F4" s="231"/>
      <c r="G4" s="231"/>
      <c r="H4" s="231"/>
      <c r="I4" s="231"/>
    </row>
    <row r="6" spans="1:9" x14ac:dyDescent="0.3">
      <c r="A6" t="s">
        <v>158</v>
      </c>
    </row>
    <row r="7" spans="1:9" x14ac:dyDescent="0.3">
      <c r="A7" t="s">
        <v>157</v>
      </c>
    </row>
    <row r="8" spans="1:9" x14ac:dyDescent="0.3">
      <c r="A8" t="s">
        <v>156</v>
      </c>
    </row>
    <row r="9" spans="1:9" x14ac:dyDescent="0.3">
      <c r="A9" t="s">
        <v>159</v>
      </c>
    </row>
    <row r="15" spans="1:9" ht="16.2" thickBot="1" x14ac:dyDescent="0.35"/>
    <row r="16" spans="1:9" ht="16.2" thickBot="1" x14ac:dyDescent="0.35">
      <c r="A16" s="232" t="s">
        <v>133</v>
      </c>
      <c r="B16" s="233"/>
      <c r="C16" s="234" t="s">
        <v>140</v>
      </c>
      <c r="D16" s="234"/>
      <c r="E16" s="234"/>
      <c r="F16" s="234"/>
      <c r="G16" s="234"/>
      <c r="H16" s="234"/>
      <c r="I16" s="235"/>
    </row>
    <row r="17" spans="1:14" x14ac:dyDescent="0.3">
      <c r="A17" s="241"/>
      <c r="B17" s="242"/>
      <c r="C17" s="243"/>
      <c r="D17" s="243"/>
      <c r="E17" s="243"/>
      <c r="F17" s="243"/>
      <c r="G17" s="243"/>
      <c r="H17" s="243"/>
      <c r="I17" s="243"/>
    </row>
    <row r="18" spans="1:14" x14ac:dyDescent="0.3">
      <c r="A18" s="224" t="s">
        <v>165</v>
      </c>
      <c r="B18" s="207"/>
      <c r="C18" s="225" t="s">
        <v>168</v>
      </c>
      <c r="D18" s="212"/>
      <c r="E18" s="212"/>
      <c r="F18" s="212"/>
      <c r="G18" s="212"/>
      <c r="H18" s="212"/>
      <c r="I18" s="212"/>
    </row>
    <row r="19" spans="1:14" x14ac:dyDescent="0.3">
      <c r="A19" s="218" t="s">
        <v>161</v>
      </c>
      <c r="B19" s="207"/>
      <c r="C19" s="220" t="s">
        <v>163</v>
      </c>
      <c r="D19" s="212"/>
      <c r="E19" s="212"/>
      <c r="F19" s="212"/>
      <c r="G19" s="212"/>
      <c r="H19" s="212"/>
      <c r="I19" s="212"/>
      <c r="J19" s="212"/>
      <c r="K19" s="212"/>
      <c r="L19" s="212"/>
      <c r="M19" s="212"/>
      <c r="N19" s="212"/>
    </row>
    <row r="20" spans="1:14" x14ac:dyDescent="0.3">
      <c r="A20" s="213" t="s">
        <v>155</v>
      </c>
      <c r="B20" s="207"/>
      <c r="C20" s="244" t="s">
        <v>169</v>
      </c>
      <c r="D20" s="245"/>
      <c r="E20" s="245"/>
      <c r="F20" s="245"/>
      <c r="G20" s="245"/>
      <c r="H20" s="245"/>
      <c r="I20" s="245"/>
      <c r="J20" s="245"/>
      <c r="K20" s="245"/>
      <c r="L20" s="245"/>
      <c r="M20" s="245"/>
      <c r="N20" s="245"/>
    </row>
    <row r="21" spans="1:14" x14ac:dyDescent="0.3">
      <c r="A21" s="192" t="s">
        <v>154</v>
      </c>
      <c r="B21" s="207"/>
      <c r="C21" s="211" t="s">
        <v>162</v>
      </c>
      <c r="D21" s="212"/>
      <c r="E21" s="212"/>
      <c r="F21" s="212"/>
      <c r="G21" s="212"/>
      <c r="H21" s="212"/>
      <c r="I21" s="212"/>
    </row>
    <row r="22" spans="1:14" x14ac:dyDescent="0.3">
      <c r="A22" s="192" t="s">
        <v>152</v>
      </c>
      <c r="B22" s="207"/>
      <c r="C22" s="210" t="s">
        <v>170</v>
      </c>
      <c r="D22" s="212"/>
      <c r="E22" s="212"/>
      <c r="F22" s="212"/>
      <c r="G22" s="212"/>
      <c r="H22" s="212"/>
      <c r="I22" s="212"/>
    </row>
    <row r="23" spans="1:14" x14ac:dyDescent="0.3">
      <c r="A23" s="192" t="s">
        <v>145</v>
      </c>
      <c r="B23" s="207"/>
      <c r="C23" s="238" t="s">
        <v>153</v>
      </c>
      <c r="D23" s="239"/>
      <c r="E23" s="239"/>
      <c r="F23" s="239"/>
      <c r="G23" s="239"/>
      <c r="H23" s="239"/>
      <c r="I23" s="239"/>
    </row>
    <row r="24" spans="1:14" s="194" customFormat="1" x14ac:dyDescent="0.3">
      <c r="A24" s="192" t="s">
        <v>138</v>
      </c>
      <c r="B24" s="193"/>
      <c r="C24" s="238" t="s">
        <v>141</v>
      </c>
      <c r="D24" s="239"/>
      <c r="E24" s="239"/>
      <c r="F24" s="239"/>
      <c r="G24" s="239"/>
      <c r="H24" s="239"/>
      <c r="I24" s="239"/>
    </row>
    <row r="25" spans="1:14" x14ac:dyDescent="0.3">
      <c r="A25" s="236" t="s">
        <v>135</v>
      </c>
      <c r="B25" s="237"/>
      <c r="C25" s="236" t="s">
        <v>142</v>
      </c>
      <c r="D25" s="236"/>
      <c r="E25" s="236"/>
      <c r="F25" s="236"/>
      <c r="G25" s="236"/>
      <c r="H25" s="236"/>
      <c r="I25" s="236"/>
    </row>
    <row r="26" spans="1:14" x14ac:dyDescent="0.3">
      <c r="A26" s="236" t="s">
        <v>134</v>
      </c>
      <c r="B26" s="237"/>
      <c r="C26" s="236" t="s">
        <v>139</v>
      </c>
      <c r="D26" s="236"/>
      <c r="E26" s="236"/>
      <c r="F26" s="236"/>
      <c r="G26" s="236"/>
      <c r="H26" s="236"/>
      <c r="I26" s="236"/>
    </row>
    <row r="27" spans="1:14" x14ac:dyDescent="0.3">
      <c r="A27" s="236"/>
      <c r="B27" s="237"/>
      <c r="C27" s="236"/>
      <c r="D27" s="240"/>
      <c r="E27" s="240"/>
      <c r="F27" s="240"/>
      <c r="G27" s="240"/>
      <c r="H27" s="240"/>
      <c r="I27" s="240"/>
    </row>
    <row r="28" spans="1:14" x14ac:dyDescent="0.3">
      <c r="A28" s="37"/>
      <c r="B28" s="191"/>
    </row>
    <row r="29" spans="1:14" x14ac:dyDescent="0.3">
      <c r="A29" s="37"/>
      <c r="B29" s="191"/>
    </row>
    <row r="30" spans="1:14" x14ac:dyDescent="0.3">
      <c r="A30" s="37"/>
      <c r="B30" s="191"/>
    </row>
    <row r="31" spans="1:14" x14ac:dyDescent="0.3">
      <c r="A31" s="37"/>
      <c r="B31" s="191"/>
    </row>
    <row r="32" spans="1:14" x14ac:dyDescent="0.3">
      <c r="A32" s="37"/>
      <c r="B32" s="191"/>
    </row>
    <row r="33" spans="1:2" x14ac:dyDescent="0.3">
      <c r="A33" s="37"/>
      <c r="B33" s="191"/>
    </row>
    <row r="34" spans="1:2" x14ac:dyDescent="0.3">
      <c r="A34" s="37"/>
      <c r="B34" s="191"/>
    </row>
    <row r="35" spans="1:2" x14ac:dyDescent="0.3">
      <c r="A35" s="37"/>
      <c r="B35" s="191"/>
    </row>
    <row r="36" spans="1:2" x14ac:dyDescent="0.3">
      <c r="A36" s="37"/>
      <c r="B36" s="191"/>
    </row>
    <row r="37" spans="1:2" x14ac:dyDescent="0.3">
      <c r="A37" s="37"/>
      <c r="B37" s="191"/>
    </row>
    <row r="38" spans="1:2" x14ac:dyDescent="0.3">
      <c r="A38" s="37"/>
      <c r="B38" s="191"/>
    </row>
    <row r="39" spans="1:2" x14ac:dyDescent="0.3">
      <c r="A39" s="37"/>
      <c r="B39" s="191"/>
    </row>
    <row r="40" spans="1:2" x14ac:dyDescent="0.3">
      <c r="A40" s="37"/>
      <c r="B40" s="191"/>
    </row>
    <row r="41" spans="1:2" x14ac:dyDescent="0.3">
      <c r="A41" s="37"/>
      <c r="B41" s="191"/>
    </row>
    <row r="42" spans="1:2" x14ac:dyDescent="0.3">
      <c r="A42" s="37"/>
      <c r="B42" s="191"/>
    </row>
    <row r="43" spans="1:2" x14ac:dyDescent="0.3">
      <c r="A43" s="37"/>
      <c r="B43" s="191"/>
    </row>
    <row r="44" spans="1:2" x14ac:dyDescent="0.3">
      <c r="A44" s="37"/>
      <c r="B44" s="191"/>
    </row>
    <row r="45" spans="1:2" x14ac:dyDescent="0.3">
      <c r="A45" s="37"/>
      <c r="B45" s="191"/>
    </row>
    <row r="46" spans="1:2" x14ac:dyDescent="0.3">
      <c r="A46" s="37"/>
      <c r="B46" s="191"/>
    </row>
  </sheetData>
  <mergeCells count="14">
    <mergeCell ref="A27:B27"/>
    <mergeCell ref="C27:I27"/>
    <mergeCell ref="A17:B17"/>
    <mergeCell ref="C17:I17"/>
    <mergeCell ref="A25:B25"/>
    <mergeCell ref="C25:I25"/>
    <mergeCell ref="C24:I24"/>
    <mergeCell ref="C20:N20"/>
    <mergeCell ref="A1:I4"/>
    <mergeCell ref="A16:B16"/>
    <mergeCell ref="C16:I16"/>
    <mergeCell ref="A26:B26"/>
    <mergeCell ref="C26:I26"/>
    <mergeCell ref="C23:I23"/>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4105" r:id="rId4">
          <objectPr defaultSize="0" r:id="rId5">
            <anchor moveWithCells="1">
              <from>
                <xdr:col>5</xdr:col>
                <xdr:colOff>0</xdr:colOff>
                <xdr:row>10</xdr:row>
                <xdr:rowOff>0</xdr:rowOff>
              </from>
              <to>
                <xdr:col>6</xdr:col>
                <xdr:colOff>228600</xdr:colOff>
                <xdr:row>13</xdr:row>
                <xdr:rowOff>83820</xdr:rowOff>
              </to>
            </anchor>
          </objectPr>
        </oleObject>
      </mc:Choice>
      <mc:Fallback>
        <oleObject progId="Document" dvAspect="DVASPECT_ICON" shapeId="410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6"/>
  <sheetViews>
    <sheetView zoomScale="90" zoomScaleNormal="90" workbookViewId="0">
      <selection activeCell="C5" sqref="C5"/>
    </sheetView>
  </sheetViews>
  <sheetFormatPr defaultColWidth="8.69921875" defaultRowHeight="14.4" x14ac:dyDescent="0.3"/>
  <cols>
    <col min="1" max="1" width="1.5" style="73" customWidth="1"/>
    <col min="2" max="2" width="36.69921875" style="73" customWidth="1"/>
    <col min="3" max="3" width="14.69921875" style="73" customWidth="1"/>
    <col min="4" max="4" width="12" style="73" bestFit="1" customWidth="1"/>
    <col min="5" max="5" width="11.69921875" style="73" customWidth="1"/>
    <col min="6" max="7" width="11.3984375" style="73" bestFit="1" customWidth="1"/>
    <col min="8" max="8" width="5.19921875" style="73" customWidth="1"/>
    <col min="9" max="9" width="47.3984375" style="73" customWidth="1"/>
    <col min="10" max="10" width="7.8984375" style="73" customWidth="1"/>
    <col min="11" max="11" width="16.69921875" style="73" customWidth="1"/>
    <col min="12" max="12" width="13.8984375" style="73" customWidth="1"/>
    <col min="13" max="16384" width="8.69921875" style="73"/>
  </cols>
  <sheetData>
    <row r="1" spans="2:14" ht="4.2" customHeight="1" thickBot="1" x14ac:dyDescent="0.35"/>
    <row r="2" spans="2:14" ht="24.6" customHeight="1" x14ac:dyDescent="0.3">
      <c r="B2" s="287" t="s">
        <v>114</v>
      </c>
      <c r="C2" s="288"/>
      <c r="D2" s="288"/>
      <c r="E2" s="288"/>
      <c r="F2" s="288"/>
      <c r="G2" s="289"/>
      <c r="H2" s="74"/>
      <c r="I2" s="281" t="s">
        <v>115</v>
      </c>
      <c r="J2" s="282"/>
      <c r="K2" s="86"/>
      <c r="L2" s="75"/>
    </row>
    <row r="3" spans="2:14" ht="15.75" customHeight="1" thickBot="1" x14ac:dyDescent="0.35">
      <c r="B3" s="98"/>
      <c r="C3" s="87"/>
      <c r="D3" s="87"/>
      <c r="E3" s="87"/>
      <c r="F3" s="87"/>
      <c r="G3" s="99"/>
      <c r="H3" s="74"/>
      <c r="I3" s="124"/>
      <c r="J3" s="125"/>
      <c r="K3" s="85"/>
      <c r="L3" s="85"/>
      <c r="M3" s="86"/>
      <c r="N3" s="75"/>
    </row>
    <row r="4" spans="2:14" ht="15.75" customHeight="1" x14ac:dyDescent="0.3">
      <c r="B4" s="139" t="s">
        <v>68</v>
      </c>
      <c r="C4" s="140" t="s">
        <v>69</v>
      </c>
      <c r="D4" s="251" t="s">
        <v>0</v>
      </c>
      <c r="E4" s="251"/>
      <c r="F4" s="251"/>
      <c r="G4" s="252"/>
      <c r="H4" s="74"/>
      <c r="I4" s="126" t="s">
        <v>150</v>
      </c>
      <c r="J4" s="127">
        <f ca="1">MAX(C46,C48,C91)</f>
        <v>1</v>
      </c>
      <c r="K4" s="85"/>
      <c r="L4" s="85"/>
      <c r="M4" s="86"/>
      <c r="N4" s="75"/>
    </row>
    <row r="5" spans="2:14" x14ac:dyDescent="0.3">
      <c r="B5" s="100" t="s">
        <v>74</v>
      </c>
      <c r="C5" s="117" t="s">
        <v>43</v>
      </c>
      <c r="D5" s="253"/>
      <c r="E5" s="253"/>
      <c r="F5" s="253"/>
      <c r="G5" s="254"/>
      <c r="I5" s="126" t="s">
        <v>151</v>
      </c>
      <c r="J5" s="127">
        <f ca="1">MAX(C46,C48,C92)</f>
        <v>2</v>
      </c>
    </row>
    <row r="6" spans="2:14" ht="15" thickBot="1" x14ac:dyDescent="0.35">
      <c r="B6" s="104"/>
      <c r="C6" s="75"/>
      <c r="D6" s="75"/>
      <c r="E6" s="75"/>
      <c r="F6" s="75"/>
      <c r="G6" s="105"/>
      <c r="I6" s="132"/>
      <c r="J6" s="133"/>
    </row>
    <row r="7" spans="2:14" ht="27.6" x14ac:dyDescent="0.3">
      <c r="B7" s="139" t="s">
        <v>54</v>
      </c>
      <c r="C7" s="147" t="s">
        <v>75</v>
      </c>
      <c r="D7" s="140" t="s">
        <v>56</v>
      </c>
      <c r="E7" s="223" t="s">
        <v>164</v>
      </c>
      <c r="F7" s="255" t="s">
        <v>0</v>
      </c>
      <c r="G7" s="256"/>
      <c r="I7" s="285" t="str">
        <f>CONCATENATE("Using current plans with ", TEXT(C29,"#")," SIP Server HA Pair(s), each with ", TEXT(C30,"#")," SIP Proxies")</f>
        <v>Using current plans with 1 SIP Server HA Pair(s), each with 2 SIP Proxies</v>
      </c>
      <c r="J7" s="286"/>
    </row>
    <row r="8" spans="2:14" ht="15.75" customHeight="1" x14ac:dyDescent="0.3">
      <c r="B8" s="103" t="s">
        <v>57</v>
      </c>
      <c r="C8" s="118">
        <v>10</v>
      </c>
      <c r="D8" s="118">
        <v>300</v>
      </c>
      <c r="E8" s="222"/>
      <c r="F8" s="246"/>
      <c r="G8" s="247"/>
      <c r="H8" s="76"/>
      <c r="I8" s="292" t="s">
        <v>148</v>
      </c>
      <c r="J8" s="293"/>
    </row>
    <row r="9" spans="2:14" ht="15.75" customHeight="1" x14ac:dyDescent="0.3">
      <c r="B9" s="103" t="s">
        <v>62</v>
      </c>
      <c r="C9" s="118">
        <v>0</v>
      </c>
      <c r="D9" s="118">
        <v>300</v>
      </c>
      <c r="E9" s="226">
        <v>0.3</v>
      </c>
      <c r="F9" s="246"/>
      <c r="G9" s="247"/>
      <c r="H9" s="77"/>
      <c r="I9" s="129" t="s">
        <v>97</v>
      </c>
      <c r="J9" s="134">
        <f ca="1">D89/100</f>
        <v>0.31775968253266762</v>
      </c>
    </row>
    <row r="10" spans="2:14" ht="15.75" customHeight="1" x14ac:dyDescent="0.3">
      <c r="B10" s="103" t="s">
        <v>63</v>
      </c>
      <c r="C10" s="118">
        <v>0</v>
      </c>
      <c r="D10" s="118">
        <v>300</v>
      </c>
      <c r="E10" s="226">
        <v>0.3</v>
      </c>
      <c r="F10" s="246"/>
      <c r="G10" s="247"/>
      <c r="H10" s="77"/>
      <c r="I10" s="129" t="s">
        <v>98</v>
      </c>
      <c r="J10" s="134">
        <f ca="1">E89/100</f>
        <v>0.2796186696047096</v>
      </c>
    </row>
    <row r="11" spans="2:14" ht="15.75" customHeight="1" x14ac:dyDescent="0.3">
      <c r="B11" s="103" t="s">
        <v>61</v>
      </c>
      <c r="C11" s="118">
        <v>0</v>
      </c>
      <c r="D11" s="118">
        <v>300</v>
      </c>
      <c r="E11" s="221"/>
      <c r="F11" s="248"/>
      <c r="G11" s="247"/>
      <c r="H11" s="77"/>
      <c r="I11" s="135"/>
      <c r="J11" s="136"/>
    </row>
    <row r="12" spans="2:14" ht="16.5" customHeight="1" thickBot="1" x14ac:dyDescent="0.35">
      <c r="B12" s="141" t="s">
        <v>64</v>
      </c>
      <c r="C12" s="119">
        <v>2</v>
      </c>
      <c r="D12" s="119">
        <v>150</v>
      </c>
      <c r="E12" s="119"/>
      <c r="F12" s="249"/>
      <c r="G12" s="250"/>
      <c r="H12" s="77"/>
      <c r="I12" s="294" t="s">
        <v>149</v>
      </c>
      <c r="J12" s="295"/>
    </row>
    <row r="13" spans="2:14" ht="15" thickBot="1" x14ac:dyDescent="0.35">
      <c r="B13" s="142"/>
      <c r="C13" s="143"/>
      <c r="D13" s="143"/>
      <c r="E13" s="143"/>
      <c r="F13" s="143"/>
      <c r="G13" s="144"/>
      <c r="H13" s="77"/>
      <c r="I13" s="129" t="s">
        <v>99</v>
      </c>
      <c r="J13" s="134">
        <f ca="1">F89/100</f>
        <v>0.79249100926345462</v>
      </c>
    </row>
    <row r="14" spans="2:14" s="78" customFormat="1" ht="27.6" x14ac:dyDescent="0.3">
      <c r="B14" s="145" t="s">
        <v>70</v>
      </c>
      <c r="C14" s="147" t="s">
        <v>126</v>
      </c>
      <c r="D14" s="140" t="s">
        <v>56</v>
      </c>
      <c r="E14" s="290" t="s">
        <v>0</v>
      </c>
      <c r="F14" s="290"/>
      <c r="G14" s="291"/>
      <c r="H14" s="77"/>
      <c r="I14" s="137"/>
      <c r="J14" s="131"/>
    </row>
    <row r="15" spans="2:14" s="80" customFormat="1" x14ac:dyDescent="0.3">
      <c r="B15" s="106" t="s">
        <v>89</v>
      </c>
      <c r="C15" s="118">
        <v>20</v>
      </c>
      <c r="D15" s="89" t="s">
        <v>71</v>
      </c>
      <c r="E15" s="257"/>
      <c r="F15" s="257"/>
      <c r="G15" s="258"/>
      <c r="H15" s="79"/>
      <c r="I15" s="138" t="s">
        <v>100</v>
      </c>
      <c r="J15" s="134">
        <f ca="1">H89/100</f>
        <v>6.0484999999999997E-2</v>
      </c>
    </row>
    <row r="16" spans="2:14" x14ac:dyDescent="0.3">
      <c r="B16" s="106" t="s">
        <v>90</v>
      </c>
      <c r="C16" s="118">
        <v>20</v>
      </c>
      <c r="D16" s="118">
        <v>100</v>
      </c>
      <c r="E16" s="257" t="s">
        <v>65</v>
      </c>
      <c r="F16" s="257"/>
      <c r="G16" s="258"/>
      <c r="H16" s="77"/>
      <c r="I16" s="128"/>
      <c r="J16" s="154"/>
    </row>
    <row r="17" spans="2:10" x14ac:dyDescent="0.3">
      <c r="B17" s="106" t="s">
        <v>94</v>
      </c>
      <c r="C17" s="118">
        <v>100</v>
      </c>
      <c r="D17" s="89" t="s">
        <v>71</v>
      </c>
      <c r="E17" s="259"/>
      <c r="F17" s="259"/>
      <c r="G17" s="260"/>
      <c r="H17" s="77"/>
      <c r="I17" s="153" t="s">
        <v>119</v>
      </c>
      <c r="J17" s="127">
        <f>(C54*Network!NSIP_inbound+C59*Network!NSIP_1xfer+C60*Network!NSIP_2xfer+C61*Network!NSIP_record +C62*Network!NSIP_1confr+C63*Network!NSIP_2confr + C64*Network!NSIP_consult +C58* Network!NSIP_intern +C65*Network!NSIP_treatment + C66*Network!NSIP_treatment_next + C67*Network!NSIP_monitor +C55*Network!NSIP_predictive_route + C56*Network!NSIP_predictive_merge)/1000</f>
        <v>687</v>
      </c>
    </row>
    <row r="18" spans="2:10" x14ac:dyDescent="0.3">
      <c r="B18" s="106" t="s">
        <v>87</v>
      </c>
      <c r="C18" s="118">
        <v>20</v>
      </c>
      <c r="D18" s="89" t="s">
        <v>71</v>
      </c>
      <c r="E18" s="257"/>
      <c r="F18" s="257"/>
      <c r="G18" s="258"/>
      <c r="H18" s="77"/>
      <c r="I18" s="135" t="s">
        <v>123</v>
      </c>
      <c r="J18" s="127">
        <f>ROUND(((C54*Network!NTlib_inbound+C59*Network!NTlib_1xfer+C60*Network!NTlib_2xfer+C61*Network!NTlib_record +C62*Network!NTlib_1confr+C63*Network!NTlib_2confr + C64*Network!NTlib_consult +C58* Network!NTlib_intern +C65*Network!NTlib_treatment + C66*Network!NTlib_treatment_next + C67*Network!NTlib_monitor +C55*Network!NTlib_predictive_route + C56*Network!NTlib_predictive_merge + (C68+C69+C70)*Network!NTLib_ISCC + C33*C54*(C34+Network!NTlib_data))*C32 +(Network!R_size+C36)*C35*(1+C32))/1000,0)</f>
        <v>2565</v>
      </c>
    </row>
    <row r="19" spans="2:10" x14ac:dyDescent="0.3">
      <c r="B19" s="106" t="s">
        <v>88</v>
      </c>
      <c r="C19" s="118">
        <v>10</v>
      </c>
      <c r="D19" s="118">
        <v>100</v>
      </c>
      <c r="E19" s="257" t="s">
        <v>66</v>
      </c>
      <c r="F19" s="257"/>
      <c r="G19" s="258"/>
      <c r="H19" s="77"/>
      <c r="I19" s="130"/>
      <c r="J19" s="162"/>
    </row>
    <row r="20" spans="2:10" x14ac:dyDescent="0.3">
      <c r="B20" s="106" t="s">
        <v>95</v>
      </c>
      <c r="C20" s="118">
        <v>20</v>
      </c>
      <c r="D20" s="118">
        <v>100</v>
      </c>
      <c r="E20" s="257" t="s">
        <v>96</v>
      </c>
      <c r="F20" s="257"/>
      <c r="G20" s="258"/>
      <c r="H20" s="77"/>
      <c r="I20" s="130" t="s">
        <v>101</v>
      </c>
      <c r="J20" s="127">
        <f>C45/C29</f>
        <v>3900</v>
      </c>
    </row>
    <row r="21" spans="2:10" x14ac:dyDescent="0.3">
      <c r="B21" s="106" t="s">
        <v>93</v>
      </c>
      <c r="C21" s="118">
        <v>100</v>
      </c>
      <c r="D21" s="90" t="s">
        <v>71</v>
      </c>
      <c r="E21" s="257"/>
      <c r="F21" s="257"/>
      <c r="G21" s="258"/>
      <c r="H21" s="77"/>
      <c r="I21" s="135" t="s">
        <v>102</v>
      </c>
      <c r="J21" s="127">
        <f>C31/C29</f>
        <v>1000</v>
      </c>
    </row>
    <row r="22" spans="2:10" s="78" customFormat="1" ht="15" thickBot="1" x14ac:dyDescent="0.35">
      <c r="B22" s="106" t="s">
        <v>91</v>
      </c>
      <c r="C22" s="118">
        <v>5</v>
      </c>
      <c r="D22" s="90" t="s">
        <v>71</v>
      </c>
      <c r="E22" s="257"/>
      <c r="F22" s="257"/>
      <c r="G22" s="258"/>
      <c r="H22" s="77"/>
      <c r="I22" s="163"/>
      <c r="J22" s="164"/>
    </row>
    <row r="23" spans="2:10" s="78" customFormat="1" x14ac:dyDescent="0.3">
      <c r="B23" s="106" t="s">
        <v>92</v>
      </c>
      <c r="C23" s="118">
        <v>20</v>
      </c>
      <c r="D23" s="90" t="s">
        <v>71</v>
      </c>
      <c r="E23" s="259"/>
      <c r="F23" s="259"/>
      <c r="G23" s="260"/>
      <c r="H23" s="77"/>
      <c r="I23" s="73"/>
      <c r="J23" s="73"/>
    </row>
    <row r="24" spans="2:10" s="78" customFormat="1" x14ac:dyDescent="0.3">
      <c r="B24" s="106" t="s">
        <v>84</v>
      </c>
      <c r="C24" s="118">
        <v>50</v>
      </c>
      <c r="D24" s="90" t="s">
        <v>71</v>
      </c>
      <c r="E24" s="259"/>
      <c r="F24" s="259"/>
      <c r="G24" s="260"/>
      <c r="H24" s="77"/>
      <c r="J24" s="73"/>
    </row>
    <row r="25" spans="2:10" s="78" customFormat="1" x14ac:dyDescent="0.3">
      <c r="B25" s="106" t="s">
        <v>85</v>
      </c>
      <c r="C25" s="118">
        <v>0</v>
      </c>
      <c r="D25" s="90" t="s">
        <v>71</v>
      </c>
      <c r="E25" s="259"/>
      <c r="F25" s="259"/>
      <c r="G25" s="260"/>
      <c r="H25" s="77"/>
    </row>
    <row r="26" spans="2:10" s="78" customFormat="1" ht="15" thickBot="1" x14ac:dyDescent="0.35">
      <c r="B26" s="107" t="s">
        <v>86</v>
      </c>
      <c r="C26" s="119">
        <v>0</v>
      </c>
      <c r="D26" s="108" t="s">
        <v>71</v>
      </c>
      <c r="E26" s="272"/>
      <c r="F26" s="272"/>
      <c r="G26" s="273"/>
      <c r="H26" s="77"/>
    </row>
    <row r="27" spans="2:10" s="78" customFormat="1" ht="15" thickBot="1" x14ac:dyDescent="0.35">
      <c r="B27" s="94"/>
      <c r="C27" s="152"/>
      <c r="D27" s="95"/>
      <c r="E27" s="96"/>
      <c r="F27" s="96"/>
      <c r="G27" s="96"/>
      <c r="H27" s="77"/>
    </row>
    <row r="28" spans="2:10" s="78" customFormat="1" x14ac:dyDescent="0.3">
      <c r="B28" s="139" t="s">
        <v>68</v>
      </c>
      <c r="C28" s="147" t="s">
        <v>69</v>
      </c>
      <c r="D28" s="251" t="s">
        <v>0</v>
      </c>
      <c r="E28" s="251"/>
      <c r="F28" s="251"/>
      <c r="G28" s="252"/>
      <c r="H28" s="77"/>
    </row>
    <row r="29" spans="2:10" x14ac:dyDescent="0.3">
      <c r="B29" s="101" t="s">
        <v>55</v>
      </c>
      <c r="C29" s="118">
        <v>1</v>
      </c>
      <c r="D29" s="262"/>
      <c r="E29" s="262"/>
      <c r="F29" s="262"/>
      <c r="G29" s="263"/>
      <c r="I29" s="155"/>
      <c r="J29" s="156"/>
    </row>
    <row r="30" spans="2:10" x14ac:dyDescent="0.3">
      <c r="B30" s="102" t="s">
        <v>60</v>
      </c>
      <c r="C30" s="118">
        <v>2</v>
      </c>
      <c r="D30" s="262" t="s">
        <v>110</v>
      </c>
      <c r="E30" s="262"/>
      <c r="F30" s="262"/>
      <c r="G30" s="263"/>
      <c r="I30" s="157"/>
      <c r="J30" s="78"/>
    </row>
    <row r="31" spans="2:10" x14ac:dyDescent="0.3">
      <c r="B31" s="103" t="s">
        <v>112</v>
      </c>
      <c r="C31" s="118">
        <v>1000</v>
      </c>
      <c r="D31" s="266" t="s">
        <v>106</v>
      </c>
      <c r="E31" s="267"/>
      <c r="F31" s="267"/>
      <c r="G31" s="268"/>
      <c r="I31" s="158"/>
      <c r="J31" s="156"/>
    </row>
    <row r="32" spans="2:10" ht="30.75" customHeight="1" x14ac:dyDescent="0.3">
      <c r="B32" s="103" t="s">
        <v>104</v>
      </c>
      <c r="C32" s="118">
        <v>6</v>
      </c>
      <c r="D32" s="262" t="s">
        <v>105</v>
      </c>
      <c r="E32" s="262"/>
      <c r="F32" s="262"/>
      <c r="G32" s="263"/>
      <c r="I32" s="155"/>
      <c r="J32" s="156"/>
    </row>
    <row r="33" spans="2:10" x14ac:dyDescent="0.3">
      <c r="B33" s="103" t="s">
        <v>107</v>
      </c>
      <c r="C33" s="118">
        <v>10</v>
      </c>
      <c r="D33" s="266"/>
      <c r="E33" s="267"/>
      <c r="F33" s="267"/>
      <c r="G33" s="268"/>
      <c r="I33" s="155"/>
      <c r="J33" s="160"/>
    </row>
    <row r="34" spans="2:10" ht="15" thickBot="1" x14ac:dyDescent="0.35">
      <c r="B34" s="183" t="s">
        <v>108</v>
      </c>
      <c r="C34" s="184">
        <v>1024</v>
      </c>
      <c r="D34" s="269"/>
      <c r="E34" s="270"/>
      <c r="F34" s="270"/>
      <c r="G34" s="271"/>
      <c r="I34" s="155"/>
      <c r="J34" s="160"/>
    </row>
    <row r="35" spans="2:10" x14ac:dyDescent="0.3">
      <c r="B35" s="187" t="s">
        <v>131</v>
      </c>
      <c r="C35" s="188">
        <v>100</v>
      </c>
      <c r="D35" s="189"/>
      <c r="E35" s="166"/>
      <c r="F35" s="166"/>
      <c r="G35" s="167"/>
      <c r="I35" s="155"/>
      <c r="J35" s="160"/>
    </row>
    <row r="36" spans="2:10" ht="15" thickBot="1" x14ac:dyDescent="0.35">
      <c r="B36" s="141" t="s">
        <v>132</v>
      </c>
      <c r="C36" s="119">
        <v>1024</v>
      </c>
      <c r="D36" s="180"/>
      <c r="E36" s="181"/>
      <c r="F36" s="181"/>
      <c r="G36" s="182"/>
      <c r="I36" s="155"/>
      <c r="J36" s="160"/>
    </row>
    <row r="37" spans="2:10" x14ac:dyDescent="0.3">
      <c r="B37" s="185" t="s">
        <v>67</v>
      </c>
      <c r="C37" s="186">
        <v>30.5</v>
      </c>
      <c r="D37" s="296"/>
      <c r="E37" s="296"/>
      <c r="F37" s="296"/>
      <c r="G37" s="297"/>
      <c r="I37" s="155"/>
      <c r="J37" s="156"/>
    </row>
    <row r="38" spans="2:10" x14ac:dyDescent="0.3">
      <c r="B38" s="103" t="s">
        <v>121</v>
      </c>
      <c r="C38" s="118">
        <v>30.5</v>
      </c>
      <c r="D38" s="261" t="s">
        <v>127</v>
      </c>
      <c r="E38" s="262"/>
      <c r="F38" s="262"/>
      <c r="G38" s="263"/>
      <c r="I38" s="155"/>
      <c r="J38" s="156"/>
    </row>
    <row r="40" spans="2:10" s="75" customFormat="1" x14ac:dyDescent="0.3">
      <c r="B40" s="161"/>
      <c r="C40" s="152"/>
      <c r="D40" s="146"/>
      <c r="E40" s="146"/>
      <c r="F40" s="146"/>
      <c r="G40" s="146"/>
      <c r="I40" s="158"/>
      <c r="J40" s="159"/>
    </row>
    <row r="41" spans="2:10" s="78" customFormat="1" ht="15" thickBot="1" x14ac:dyDescent="0.35">
      <c r="B41" s="94"/>
      <c r="C41" s="97"/>
      <c r="D41" s="95"/>
      <c r="E41" s="96"/>
      <c r="F41" s="96"/>
      <c r="G41" s="96"/>
      <c r="H41" s="77"/>
    </row>
    <row r="42" spans="2:10" s="78" customFormat="1" ht="18.600000000000001" thickBot="1" x14ac:dyDescent="0.35">
      <c r="B42" s="305" t="s">
        <v>103</v>
      </c>
      <c r="C42" s="306"/>
      <c r="D42" s="306"/>
      <c r="E42" s="306"/>
      <c r="F42" s="306"/>
      <c r="G42" s="306"/>
      <c r="H42" s="307"/>
    </row>
    <row r="43" spans="2:10" s="78" customFormat="1" x14ac:dyDescent="0.3">
      <c r="B43" s="110"/>
      <c r="C43" s="109"/>
      <c r="D43" s="109"/>
      <c r="E43" s="109"/>
      <c r="F43" s="109"/>
      <c r="G43" s="109"/>
      <c r="H43" s="111"/>
    </row>
    <row r="44" spans="2:10" s="78" customFormat="1" x14ac:dyDescent="0.3">
      <c r="B44" s="274" t="s">
        <v>72</v>
      </c>
      <c r="C44" s="275"/>
      <c r="D44" s="275"/>
      <c r="E44" s="275"/>
      <c r="F44" s="275"/>
      <c r="G44" s="275"/>
      <c r="H44" s="276"/>
      <c r="I44" s="81"/>
    </row>
    <row r="45" spans="2:10" s="81" customFormat="1" x14ac:dyDescent="0.3">
      <c r="B45" s="112" t="s">
        <v>73</v>
      </c>
      <c r="C45" s="120">
        <f>C8*D8+C9*D9+C10*D10+C12*D12+SUM(C8:C12)*C16/100*D16+SUM(C8:C12)*C19/100*D19+SUM(C8:C12)*C20/100*D20</f>
        <v>3900</v>
      </c>
      <c r="D45" s="277"/>
      <c r="E45" s="277"/>
      <c r="F45" s="277"/>
      <c r="G45" s="277"/>
      <c r="H45" s="278"/>
      <c r="I45" s="73"/>
    </row>
    <row r="46" spans="2:10" s="81" customFormat="1" ht="28.8" x14ac:dyDescent="0.3">
      <c r="B46" s="112" t="s">
        <v>109</v>
      </c>
      <c r="C46" s="120">
        <f ca="1">ROUNDUP(C45/INDIRECT(platform&amp;"!MAX_concur"),0)</f>
        <v>1</v>
      </c>
      <c r="D46" s="283"/>
      <c r="E46" s="265"/>
      <c r="F46" s="265"/>
      <c r="G46" s="265"/>
      <c r="H46" s="284"/>
      <c r="I46" s="73"/>
    </row>
    <row r="47" spans="2:10" ht="15" thickBot="1" x14ac:dyDescent="0.35">
      <c r="B47" s="165" t="s">
        <v>82</v>
      </c>
      <c r="C47" s="172">
        <f>C31/C29</f>
        <v>1000</v>
      </c>
      <c r="D47" s="279"/>
      <c r="E47" s="279"/>
      <c r="F47" s="279"/>
      <c r="G47" s="279"/>
      <c r="H47" s="280"/>
      <c r="J47" s="81"/>
    </row>
    <row r="48" spans="2:10" ht="29.4" thickBot="1" x14ac:dyDescent="0.35">
      <c r="B48" s="173" t="s">
        <v>111</v>
      </c>
      <c r="C48" s="174">
        <f ca="1">ROUNDUP(C31/INDIRECT(platform&amp;"!MAX_concur"),0)</f>
        <v>1</v>
      </c>
      <c r="D48" s="308"/>
      <c r="E48" s="279"/>
      <c r="F48" s="279"/>
      <c r="G48" s="279"/>
      <c r="H48" s="280"/>
      <c r="J48" s="81"/>
    </row>
    <row r="49" spans="2:10" ht="15" thickBot="1" x14ac:dyDescent="0.35">
      <c r="B49" s="178"/>
      <c r="C49" s="179"/>
      <c r="D49" s="176"/>
      <c r="E49" s="166"/>
      <c r="F49" s="166"/>
      <c r="G49" s="166"/>
      <c r="H49" s="167"/>
      <c r="J49" s="81"/>
    </row>
    <row r="50" spans="2:10" ht="15" thickBot="1" x14ac:dyDescent="0.35">
      <c r="B50" s="171" t="s">
        <v>124</v>
      </c>
      <c r="C50" s="175">
        <f>C38/C37</f>
        <v>1</v>
      </c>
      <c r="D50" s="264"/>
      <c r="E50" s="265"/>
      <c r="F50" s="265"/>
      <c r="G50" s="265"/>
      <c r="H50" s="105"/>
      <c r="I50" s="158"/>
      <c r="J50" s="159"/>
    </row>
    <row r="51" spans="2:10" s="82" customFormat="1" ht="15" thickBot="1" x14ac:dyDescent="0.35">
      <c r="B51" s="168" t="s">
        <v>2</v>
      </c>
      <c r="C51" s="169"/>
      <c r="D51" s="177"/>
      <c r="E51" s="169"/>
      <c r="F51" s="169"/>
      <c r="G51" s="169"/>
      <c r="H51" s="170"/>
    </row>
    <row r="52" spans="2:10" s="82" customFormat="1" ht="15.75" customHeight="1" x14ac:dyDescent="0.3">
      <c r="B52" s="302" t="s">
        <v>1</v>
      </c>
      <c r="C52" s="303"/>
      <c r="D52" s="303"/>
      <c r="E52" s="303"/>
      <c r="F52" s="303"/>
      <c r="G52" s="303"/>
      <c r="H52" s="304"/>
    </row>
    <row r="53" spans="2:10" ht="57.6" x14ac:dyDescent="0.3">
      <c r="B53" s="113" t="s">
        <v>33</v>
      </c>
      <c r="C53" s="88" t="s">
        <v>32</v>
      </c>
      <c r="D53" s="88" t="s">
        <v>78</v>
      </c>
      <c r="E53" s="88" t="s">
        <v>79</v>
      </c>
      <c r="F53" s="88" t="s">
        <v>80</v>
      </c>
      <c r="G53" s="88" t="s">
        <v>34</v>
      </c>
      <c r="H53" s="115" t="s">
        <v>81</v>
      </c>
      <c r="I53" s="82"/>
      <c r="J53" s="82"/>
    </row>
    <row r="54" spans="2:10" s="82" customFormat="1" x14ac:dyDescent="0.3">
      <c r="B54" s="83" t="s">
        <v>57</v>
      </c>
      <c r="C54" s="91">
        <f>C8/C29</f>
        <v>10</v>
      </c>
      <c r="D54" s="91">
        <f ca="1">C54*INDIRECT(platform&amp;"!MT_inbound")</f>
        <v>3.678756476683938</v>
      </c>
      <c r="E54" s="91">
        <f ca="1">C54*INDIRECT(platform&amp;"!CM_inbound")</f>
        <v>4.4196891191709851</v>
      </c>
      <c r="F54" s="91">
        <f ca="1">C54*INDIRECT(platform&amp;"!ST_inbound")</f>
        <v>8.0984455958549226</v>
      </c>
      <c r="G54" s="91">
        <f>C8/C30/C29</f>
        <v>5</v>
      </c>
      <c r="H54" s="116">
        <f ca="1">G54*INDIRECT(platform&amp;"!PR_inbound")</f>
        <v>0.58500000000000008</v>
      </c>
    </row>
    <row r="55" spans="2:10" s="82" customFormat="1" x14ac:dyDescent="0.3">
      <c r="B55" s="83" t="s">
        <v>59</v>
      </c>
      <c r="C55" s="91">
        <f>C9/C29</f>
        <v>0</v>
      </c>
      <c r="D55" s="91">
        <f ca="1">C55*E9*INDIRECT(platform&amp;"!MT_predictive_route")+ C55*(100% - E9)*INDIRECT(platform&amp;"!MT_inbound")</f>
        <v>0</v>
      </c>
      <c r="E55" s="91">
        <f ca="1">C55*E9*INDIRECT(platform&amp;"!CM_predictive_route")+ C55*(100% - E9)*INDIRECT(platform&amp;"!CM_inbound")</f>
        <v>0</v>
      </c>
      <c r="F55" s="91">
        <f ca="1">C55*INDIRECT(platform&amp;"!ST_predictive_route")</f>
        <v>0</v>
      </c>
      <c r="G55" s="91">
        <f>C9/C30/C29</f>
        <v>0</v>
      </c>
      <c r="H55" s="116">
        <f ca="1">G55*INDIRECT(platform&amp;"!PR_predictive_route")</f>
        <v>0</v>
      </c>
      <c r="I55" s="73"/>
    </row>
    <row r="56" spans="2:10" s="82" customFormat="1" x14ac:dyDescent="0.3">
      <c r="B56" s="83" t="s">
        <v>77</v>
      </c>
      <c r="C56" s="91">
        <f>C10/C29</f>
        <v>0</v>
      </c>
      <c r="D56" s="91">
        <f ca="1">C56*E10*INDIRECT(platform&amp;"!MT_predictive_merge")+ C56*(100% - E10)*INDIRECT(platform&amp;"!MT_inbound")</f>
        <v>0</v>
      </c>
      <c r="E56" s="91">
        <f ca="1">C56*E10*INDIRECT(platform&amp;"!CM_predictive_merge")+ C56*(100% - E10)*INDIRECT(platform&amp;"!CM_inbound")</f>
        <v>0</v>
      </c>
      <c r="F56" s="91">
        <f ca="1">C56*INDIRECT(platform&amp;"!ST_predictive_merge")</f>
        <v>0</v>
      </c>
      <c r="G56" s="91">
        <f>C10/C30/C29</f>
        <v>0</v>
      </c>
      <c r="H56" s="116">
        <f ca="1">G56*INDIRECT(platform&amp;"!PR_predictive_merge")</f>
        <v>0</v>
      </c>
      <c r="J56" s="73"/>
    </row>
    <row r="57" spans="2:10" s="82" customFormat="1" x14ac:dyDescent="0.3">
      <c r="B57" s="83" t="s">
        <v>58</v>
      </c>
      <c r="C57" s="91">
        <f>C11/C29</f>
        <v>0</v>
      </c>
      <c r="D57" s="91">
        <f ca="1">C57*INDIRECT(platform&amp;"!MT_inbound")</f>
        <v>0</v>
      </c>
      <c r="E57" s="91">
        <f ca="1">C57*INDIRECT(platform&amp;"!CM_inbound")</f>
        <v>0</v>
      </c>
      <c r="F57" s="91">
        <f ca="1">C57*INDIRECT(platform&amp;"!ST_inbound")</f>
        <v>0</v>
      </c>
      <c r="G57" s="91">
        <f>C11/C37/C30</f>
        <v>0</v>
      </c>
      <c r="H57" s="116">
        <f ca="1">G57*INDIRECT(platform&amp;"!PR_inbound")</f>
        <v>0</v>
      </c>
    </row>
    <row r="58" spans="2:10" s="82" customFormat="1" x14ac:dyDescent="0.3">
      <c r="B58" s="83" t="s">
        <v>76</v>
      </c>
      <c r="C58" s="91">
        <f>C12/C29</f>
        <v>2</v>
      </c>
      <c r="D58" s="91">
        <f ca="1">C58*INDIRECT(platform&amp;"!MT_intern")</f>
        <v>0.61592356687898087</v>
      </c>
      <c r="E58" s="91">
        <f ca="1">C58*INDIRECT(platform&amp;"!CM_intern")</f>
        <v>0.95859872611464969</v>
      </c>
      <c r="F58" s="91">
        <f ca="1">C58*INDIRECT(platform&amp;"!ST_intern")</f>
        <v>1.5745222929936307</v>
      </c>
      <c r="G58" s="91">
        <f>C12/C30/C29</f>
        <v>1</v>
      </c>
      <c r="H58" s="116">
        <f ca="1">G58*INDIRECT(platform&amp;"!PR_intern")</f>
        <v>0.21099999999999999</v>
      </c>
    </row>
    <row r="59" spans="2:10" s="82" customFormat="1" x14ac:dyDescent="0.3">
      <c r="B59" s="83" t="s">
        <v>8</v>
      </c>
      <c r="C59" s="91">
        <f>SUM(C54:C57)*(C15/100)</f>
        <v>2</v>
      </c>
      <c r="D59" s="91">
        <f ca="1">C59*INDIRECT(platform&amp;"!MT_1xfer")</f>
        <v>0.40271024312475107</v>
      </c>
      <c r="E59" s="91">
        <f ca="1">C59*INDIRECT(platform&amp;"!CM_1xfer")</f>
        <v>0.63144679155041838</v>
      </c>
      <c r="F59" s="91">
        <f ca="1">C59*INDIRECT(platform&amp;"!ST_1xfer")</f>
        <v>1.0341570346751694</v>
      </c>
      <c r="G59" s="91">
        <f>SUM(G54:G57)*(C15/100)</f>
        <v>1</v>
      </c>
      <c r="H59" s="116">
        <f ca="1">G59*INDIRECT(platform&amp;"!PR_1xfer")</f>
        <v>0.128</v>
      </c>
    </row>
    <row r="60" spans="2:10" s="82" customFormat="1" x14ac:dyDescent="0.3">
      <c r="B60" s="83" t="s">
        <v>9</v>
      </c>
      <c r="C60" s="91">
        <f>SUM(C54:C57)*(C16/100)</f>
        <v>2</v>
      </c>
      <c r="D60" s="91">
        <f ca="1">C60*INDIRECT(platform&amp;"!MT_2xfer")</f>
        <v>0.9583663517220361</v>
      </c>
      <c r="E60" s="91">
        <f ca="1">C60*INDIRECT(platform&amp;"!CM_2xfer")</f>
        <v>2.1337092349893325</v>
      </c>
      <c r="F60" s="91">
        <f ca="1">C60*INDIRECT(platform&amp;"!ST_2xfer")</f>
        <v>3.0920755867113687</v>
      </c>
      <c r="G60" s="91">
        <f>SUM(G54:G57)*(C16/100)</f>
        <v>1</v>
      </c>
      <c r="H60" s="116">
        <f ca="1">G60*INDIRECT(platform&amp;"!PR_2xfer")</f>
        <v>0.51100000000000001</v>
      </c>
    </row>
    <row r="61" spans="2:10" s="82" customFormat="1" x14ac:dyDescent="0.3">
      <c r="B61" s="83" t="s">
        <v>10</v>
      </c>
      <c r="C61" s="91">
        <f>SUM(C54:C57)*(C17/100)</f>
        <v>10</v>
      </c>
      <c r="D61" s="91">
        <f ca="1">C61*INDIRECT(platform&amp;"!MT_record")</f>
        <v>1.1981666002391385</v>
      </c>
      <c r="E61" s="91">
        <f ca="1">C61*INDIRECT(platform&amp;"!CM_record")</f>
        <v>5.7033878039059367</v>
      </c>
      <c r="F61" s="91">
        <f ca="1">C61*INDIRECT(platform&amp;"!ST_record")</f>
        <v>6.9015544041450756</v>
      </c>
      <c r="G61" s="91">
        <f>SUM(G54:G57)*(C17/100)</f>
        <v>5</v>
      </c>
      <c r="H61" s="116">
        <f ca="1">G61*INDIRECT(platform&amp;"!PR_record")</f>
        <v>1.3250000000000002</v>
      </c>
    </row>
    <row r="62" spans="2:10" s="82" customFormat="1" x14ac:dyDescent="0.3">
      <c r="B62" s="83" t="s">
        <v>11</v>
      </c>
      <c r="C62" s="91">
        <f>SUM(C54:C57)*(C18/100)</f>
        <v>2</v>
      </c>
      <c r="D62" s="91">
        <f ca="1">C62*INDIRECT(platform&amp;"!MT_1confr")</f>
        <v>0.74071929289850658</v>
      </c>
      <c r="E62" s="91">
        <f ca="1">C62*INDIRECT(platform&amp;"!CM_1confr")</f>
        <v>2.033709234989332</v>
      </c>
      <c r="F62" s="91">
        <f ca="1">C62*INDIRECT(platform&amp;"!ST_1confr")</f>
        <v>2.7744285278878387</v>
      </c>
      <c r="G62" s="91">
        <f>SUM(G54:G57)*(C18/100)</f>
        <v>1</v>
      </c>
      <c r="H62" s="116">
        <f ca="1">G62*INDIRECT(platform&amp;"!PR_1confr")</f>
        <v>0.437</v>
      </c>
    </row>
    <row r="63" spans="2:10" s="82" customFormat="1" x14ac:dyDescent="0.3">
      <c r="B63" s="83" t="s">
        <v>12</v>
      </c>
      <c r="C63" s="91">
        <f>SUM(C54:C57)*(C19/100)</f>
        <v>1</v>
      </c>
      <c r="D63" s="91">
        <f ca="1">C63*INDIRECT(platform&amp;"!MT_2confr")</f>
        <v>0.60904742925468325</v>
      </c>
      <c r="E63" s="91">
        <f ca="1">C63*INDIRECT(platform&amp;"!CM_2confr")</f>
        <v>1.7964926265444401</v>
      </c>
      <c r="F63" s="91">
        <f ca="1">C63*INDIRECT(platform&amp;"!ST_2confr")</f>
        <v>2.4055400557991233</v>
      </c>
      <c r="G63" s="91">
        <f>SUM(G54:G57)*(C19/100)</f>
        <v>0.5</v>
      </c>
      <c r="H63" s="116">
        <f ca="1">G63*INDIRECT(platform&amp;"!PR_2confr")</f>
        <v>0.45350000000000001</v>
      </c>
    </row>
    <row r="64" spans="2:10" s="82" customFormat="1" x14ac:dyDescent="0.3">
      <c r="B64" s="83" t="s">
        <v>19</v>
      </c>
      <c r="C64" s="91">
        <f>SUM(C54:C57)*(C20/100)</f>
        <v>2</v>
      </c>
      <c r="D64" s="91">
        <f ca="1">C64*INDIRECT(platform&amp;"!MT_consult")</f>
        <v>0.90248399878085939</v>
      </c>
      <c r="E64" s="91">
        <f ca="1">C64*INDIRECT(platform&amp;"!CM_consult")</f>
        <v>2.1454739408716859</v>
      </c>
      <c r="F64" s="91">
        <f ca="1">C64*INDIRECT(platform&amp;"!ST_consult")</f>
        <v>3.0479579396525454</v>
      </c>
      <c r="G64" s="91">
        <f>SUM(G54:G57)*(C20/100)</f>
        <v>1</v>
      </c>
      <c r="H64" s="116">
        <f ca="1">G64*INDIRECT(platform&amp;"!PR_consult")</f>
        <v>0.496</v>
      </c>
    </row>
    <row r="65" spans="2:8" s="82" customFormat="1" x14ac:dyDescent="0.3">
      <c r="B65" s="83" t="s">
        <v>51</v>
      </c>
      <c r="C65" s="91">
        <f>C54*(C21/100)</f>
        <v>10</v>
      </c>
      <c r="D65" s="91">
        <f ca="1">C65*INDIRECT(platform&amp;"!MT_treatment")</f>
        <v>1.3212435233160613</v>
      </c>
      <c r="E65" s="91">
        <f ca="1">C65*INDIRECT(platform&amp;"!CM_treatment")</f>
        <v>2.7956954962136304</v>
      </c>
      <c r="F65" s="91">
        <f ca="1">C65*INDIRECT(platform&amp;"!ST_treatment")</f>
        <v>4.116939019529692</v>
      </c>
      <c r="G65" s="91">
        <f>G54*(C21/100)</f>
        <v>5</v>
      </c>
      <c r="H65" s="116">
        <f ca="1">G65*INDIRECT(platform&amp;"!PR_treatment")</f>
        <v>0.73499999999999999</v>
      </c>
    </row>
    <row r="66" spans="2:8" s="82" customFormat="1" x14ac:dyDescent="0.3">
      <c r="B66" s="83" t="s">
        <v>52</v>
      </c>
      <c r="C66" s="91">
        <f>C54*(C22-1)*(C21/100)</f>
        <v>40</v>
      </c>
      <c r="D66" s="91">
        <f ca="1">C66*INDIRECT(platform&amp;"!MT_treatment_next")</f>
        <v>5.1692307692307704</v>
      </c>
      <c r="E66" s="91">
        <f ca="1">C66*INDIRECT(platform&amp;"!CM_treatment_next")</f>
        <v>3.6923076923076898</v>
      </c>
      <c r="F66" s="91">
        <f ca="1">C66*INDIRECT(platform&amp;"!ST_treatment_next")</f>
        <v>8.8615384615384603</v>
      </c>
      <c r="G66" s="91">
        <f>G54*(C22-1)*(C21/100)</f>
        <v>20</v>
      </c>
      <c r="H66" s="116">
        <f ca="1">G66*INDIRECT(platform&amp;"!PR_treatment_next")</f>
        <v>0.84000000000000008</v>
      </c>
    </row>
    <row r="67" spans="2:8" s="82" customFormat="1" x14ac:dyDescent="0.3">
      <c r="B67" s="83" t="s">
        <v>25</v>
      </c>
      <c r="C67" s="91">
        <f>SUM(C54:C57)*(C23/100)</f>
        <v>2</v>
      </c>
      <c r="D67" s="91">
        <f ca="1">C67*INDIRECT(platform&amp;"!MT_monitor")</f>
        <v>0.59954282231027101</v>
      </c>
      <c r="E67" s="91">
        <f ca="1">C67*INDIRECT(platform&amp;"!CM_monitor")</f>
        <v>1.6513562938128616</v>
      </c>
      <c r="F67" s="91">
        <f ca="1">C67*INDIRECT(platform&amp;"!ST_monitor")</f>
        <v>2.2508991161231329</v>
      </c>
      <c r="G67" s="91">
        <f>SUM(G54:G57)*(C23/100)</f>
        <v>1</v>
      </c>
      <c r="H67" s="116">
        <f ca="1">G67*INDIRECT(platform&amp;"!PR_monitor")</f>
        <v>0.32700000000000001</v>
      </c>
    </row>
    <row r="68" spans="2:8" s="82" customFormat="1" x14ac:dyDescent="0.3">
      <c r="B68" s="83" t="s">
        <v>30</v>
      </c>
      <c r="C68" s="91">
        <f>C54*(C24/100)</f>
        <v>5</v>
      </c>
      <c r="D68" s="91">
        <f ca="1">C68*INDIRECT(platform&amp;"!MT_iscc_source")</f>
        <v>0.17500000000000002</v>
      </c>
      <c r="E68" s="91">
        <f ca="1">C68*INDIRECT(platform&amp;"!CM_iscc_source")</f>
        <v>0</v>
      </c>
      <c r="F68" s="91">
        <f ca="1">C68*INDIRECT(platform&amp;"!ST_iscc_source")</f>
        <v>0.17500000000000002</v>
      </c>
      <c r="G68" s="91">
        <v>0</v>
      </c>
      <c r="H68" s="116"/>
    </row>
    <row r="69" spans="2:8" s="82" customFormat="1" x14ac:dyDescent="0.3">
      <c r="B69" s="83" t="s">
        <v>42</v>
      </c>
      <c r="C69" s="91">
        <f>C54*(C25/100)</f>
        <v>0</v>
      </c>
      <c r="D69" s="91">
        <f ca="1">C69*INDIRECT(platform&amp;"!MT_iscc_directUUI")</f>
        <v>0</v>
      </c>
      <c r="E69" s="91">
        <f ca="1">C69*INDIRECT(platform&amp;"!CM_iscc_directUUI")</f>
        <v>0</v>
      </c>
      <c r="F69" s="91">
        <f ca="1">C69*INDIRECT(platform&amp;"!ST_iscc_directUUI")</f>
        <v>0</v>
      </c>
      <c r="G69" s="91">
        <v>0</v>
      </c>
      <c r="H69" s="116"/>
    </row>
    <row r="70" spans="2:8" s="82" customFormat="1" x14ac:dyDescent="0.3">
      <c r="B70" s="83" t="s">
        <v>31</v>
      </c>
      <c r="C70" s="91">
        <f>C54*(C26/100)</f>
        <v>0</v>
      </c>
      <c r="D70" s="91">
        <f ca="1">C70*INDIRECT(platform&amp;"!MT_iscc_route")</f>
        <v>0</v>
      </c>
      <c r="E70" s="91">
        <f ca="1">C70*INDIRECT(platform&amp;"!CM_iscc_route")</f>
        <v>0</v>
      </c>
      <c r="F70" s="91">
        <f ca="1">C70*INDIRECT(platform&amp;"!ST_iscc_route")</f>
        <v>0</v>
      </c>
      <c r="G70" s="91">
        <v>0</v>
      </c>
      <c r="H70" s="116"/>
    </row>
    <row r="71" spans="2:8" s="82" customFormat="1" x14ac:dyDescent="0.3">
      <c r="B71" s="190"/>
      <c r="C71" s="91"/>
      <c r="D71" s="91"/>
      <c r="E71" s="91"/>
      <c r="F71" s="91"/>
      <c r="G71" s="91"/>
      <c r="H71" s="116"/>
    </row>
    <row r="72" spans="2:8" s="82" customFormat="1" x14ac:dyDescent="0.3">
      <c r="B72" s="121" t="s">
        <v>83</v>
      </c>
      <c r="C72" s="91"/>
      <c r="D72" s="92">
        <f ca="1">SUM(D54:D71)</f>
        <v>16.371191074439995</v>
      </c>
      <c r="E72" s="92">
        <f ca="1">SUM(E54:E71)</f>
        <v>27.96186696047096</v>
      </c>
      <c r="F72" s="91">
        <f ca="1">SUM(F54:F71)</f>
        <v>44.333058034910962</v>
      </c>
      <c r="G72" s="91"/>
      <c r="H72" s="116">
        <f ca="1">SUM(H54:H71)</f>
        <v>6.0484999999999998</v>
      </c>
    </row>
    <row r="73" spans="2:8" s="82" customFormat="1" x14ac:dyDescent="0.3">
      <c r="B73" s="148"/>
      <c r="C73" s="149"/>
      <c r="D73" s="150"/>
      <c r="E73" s="150"/>
      <c r="F73" s="149"/>
      <c r="G73" s="149"/>
      <c r="H73" s="151"/>
    </row>
    <row r="74" spans="2:8" s="82" customFormat="1" ht="15" customHeight="1" x14ac:dyDescent="0.3">
      <c r="B74" s="274" t="s">
        <v>116</v>
      </c>
      <c r="C74" s="275"/>
      <c r="D74" s="275"/>
      <c r="E74" s="275"/>
      <c r="F74" s="275"/>
      <c r="G74" s="275"/>
      <c r="H74" s="276"/>
    </row>
    <row r="75" spans="2:8" s="82" customFormat="1" x14ac:dyDescent="0.3">
      <c r="B75" s="148"/>
      <c r="C75" s="149"/>
      <c r="D75" s="150">
        <f ca="1">D72*(1+(C31/C29)*INDIRECT(platform&amp;"!MT_aclients"))</f>
        <v>16.649501322705472</v>
      </c>
      <c r="E75" s="150">
        <f ca="1">E72*(1+(C31/C29)*INDIRECT(platform&amp;"!CM_aclients"))</f>
        <v>27.96186696047096</v>
      </c>
      <c r="F75" s="149">
        <f ca="1">F72*(1+(C31/C29)*INDIRECT(platform&amp;"!ST_aclients"))</f>
        <v>45.086720021504448</v>
      </c>
      <c r="G75" s="149"/>
      <c r="H75" s="151">
        <f ca="1">H72</f>
        <v>6.0484999999999998</v>
      </c>
    </row>
    <row r="76" spans="2:8" s="82" customFormat="1" x14ac:dyDescent="0.3">
      <c r="B76" s="148"/>
      <c r="C76" s="149"/>
      <c r="D76" s="150"/>
      <c r="E76" s="150"/>
      <c r="F76" s="149"/>
      <c r="G76" s="149"/>
      <c r="H76" s="151"/>
    </row>
    <row r="77" spans="2:8" s="82" customFormat="1" ht="15" customHeight="1" x14ac:dyDescent="0.3">
      <c r="B77" s="274" t="s">
        <v>117</v>
      </c>
      <c r="C77" s="275"/>
      <c r="D77" s="275"/>
      <c r="E77" s="275"/>
      <c r="F77" s="275"/>
      <c r="G77" s="275"/>
      <c r="H77" s="276"/>
    </row>
    <row r="78" spans="2:8" s="82" customFormat="1" x14ac:dyDescent="0.3">
      <c r="B78" s="148"/>
      <c r="C78" s="149"/>
      <c r="D78" s="150">
        <f ca="1">D75*(1 +C33*INDIRECT(platform&amp;"!MT_update"))*(1+C33*C34*INDIRECT(platform&amp;"!MT_attach"))</f>
        <v>26.129368226131039</v>
      </c>
      <c r="E78" s="150">
        <f ca="1">E75</f>
        <v>27.96186696047096</v>
      </c>
      <c r="F78" s="149">
        <f ca="1">F75*(1 +C33*INDIRECT(platform&amp;"!ST_update"))*(1+C33*C34*INDIRECT(platform&amp;"!ST_attach"))</f>
        <v>70.758125827094162</v>
      </c>
      <c r="G78" s="149"/>
      <c r="H78" s="151">
        <f ca="1">H75</f>
        <v>6.0484999999999998</v>
      </c>
    </row>
    <row r="79" spans="2:8" s="82" customFormat="1" x14ac:dyDescent="0.3">
      <c r="B79" s="148"/>
      <c r="C79" s="149"/>
      <c r="D79" s="150"/>
      <c r="E79" s="150"/>
      <c r="F79" s="149"/>
      <c r="G79" s="149"/>
      <c r="H79" s="151"/>
    </row>
    <row r="80" spans="2:8" s="82" customFormat="1" x14ac:dyDescent="0.3">
      <c r="B80" s="190" t="s">
        <v>130</v>
      </c>
      <c r="C80" s="91">
        <f>C35/C29</f>
        <v>100</v>
      </c>
      <c r="D80" s="91">
        <f ca="1">C80*INDIRECT(platform&amp;"!MT_vqrate") + C80*C32*(C36/1000)*INDIRECT(platform&amp;"!MT_vqdata")</f>
        <v>2.242032</v>
      </c>
      <c r="E80" s="91">
        <f ca="1">C80*INDIRECT(platform&amp;"!CM_vqrate") + C80*C32*(C36/1000)*INDIRECT(platform&amp;"!CM_vqdata")</f>
        <v>0</v>
      </c>
      <c r="F80" s="91">
        <f ca="1">C80*INDIRECT(platform&amp;"!ST_vqrate") + C80*C32*(C36/1000)*INDIRECT(platform&amp;"!ST_vqdata")</f>
        <v>2.242032</v>
      </c>
      <c r="G80" s="91"/>
      <c r="H80" s="116"/>
    </row>
    <row r="81" spans="2:8" s="82" customFormat="1" x14ac:dyDescent="0.3">
      <c r="B81" s="219"/>
      <c r="C81" s="149"/>
      <c r="D81" s="149"/>
      <c r="E81" s="149"/>
      <c r="F81" s="149"/>
      <c r="G81" s="149"/>
      <c r="H81" s="151"/>
    </row>
    <row r="82" spans="2:8" s="82" customFormat="1" ht="15" customHeight="1" x14ac:dyDescent="0.3">
      <c r="B82" s="274" t="s">
        <v>160</v>
      </c>
      <c r="C82" s="275"/>
      <c r="D82" s="275"/>
      <c r="E82" s="275"/>
      <c r="F82" s="275"/>
      <c r="G82" s="275"/>
      <c r="H82" s="276"/>
    </row>
    <row r="83" spans="2:8" s="82" customFormat="1" x14ac:dyDescent="0.3">
      <c r="B83" s="219"/>
      <c r="C83" s="149"/>
      <c r="D83" s="149">
        <f ca="1">D78+D80</f>
        <v>28.371400226131037</v>
      </c>
      <c r="E83" s="149">
        <f ca="1">E78+E80</f>
        <v>27.96186696047096</v>
      </c>
      <c r="F83" s="149">
        <f ca="1">F78+F80</f>
        <v>73.000157827094156</v>
      </c>
      <c r="G83" s="149"/>
      <c r="H83" s="151"/>
    </row>
    <row r="84" spans="2:8" s="82" customFormat="1" x14ac:dyDescent="0.3">
      <c r="B84" s="148"/>
      <c r="C84" s="149"/>
      <c r="D84" s="150"/>
      <c r="E84" s="150"/>
      <c r="F84" s="149"/>
      <c r="G84" s="149"/>
      <c r="H84" s="151"/>
    </row>
    <row r="85" spans="2:8" s="82" customFormat="1" ht="15" customHeight="1" x14ac:dyDescent="0.3">
      <c r="B85" s="274" t="s">
        <v>118</v>
      </c>
      <c r="C85" s="275"/>
      <c r="D85" s="275"/>
      <c r="E85" s="275"/>
      <c r="F85" s="275"/>
      <c r="G85" s="275"/>
      <c r="H85" s="276"/>
    </row>
    <row r="86" spans="2:8" s="82" customFormat="1" x14ac:dyDescent="0.3">
      <c r="B86" s="148"/>
      <c r="C86" s="149"/>
      <c r="D86" s="150">
        <f ca="1">D83*(1+C32*INDIRECT(platform&amp;"!MT_mclients"))</f>
        <v>31.775968253266765</v>
      </c>
      <c r="E86" s="150">
        <f ca="1">E83*(1+C32*INDIRECT(platform&amp;"!CM_mclients"))</f>
        <v>27.96186696047096</v>
      </c>
      <c r="F86" s="149">
        <f ca="1">F78*(1+C32*INDIRECT(platform&amp;"!ST_mclients"))</f>
        <v>79.249100926345463</v>
      </c>
      <c r="G86" s="149"/>
      <c r="H86" s="151">
        <f ca="1">H78</f>
        <v>6.0484999999999998</v>
      </c>
    </row>
    <row r="87" spans="2:8" s="82" customFormat="1" x14ac:dyDescent="0.3">
      <c r="B87" s="148"/>
      <c r="C87" s="149"/>
      <c r="D87" s="150"/>
      <c r="E87" s="150"/>
      <c r="F87" s="149"/>
      <c r="G87" s="149"/>
      <c r="H87" s="151"/>
    </row>
    <row r="88" spans="2:8" s="82" customFormat="1" ht="15" customHeight="1" x14ac:dyDescent="0.3">
      <c r="B88" s="274" t="s">
        <v>125</v>
      </c>
      <c r="C88" s="275"/>
      <c r="D88" s="275"/>
      <c r="E88" s="275"/>
      <c r="F88" s="275"/>
      <c r="G88" s="275"/>
      <c r="H88" s="276"/>
    </row>
    <row r="89" spans="2:8" s="82" customFormat="1" x14ac:dyDescent="0.3">
      <c r="B89" s="148"/>
      <c r="C89" s="149"/>
      <c r="D89" s="150">
        <f ca="1">D86*C50</f>
        <v>31.775968253266765</v>
      </c>
      <c r="E89" s="150">
        <f ca="1">E86*C50</f>
        <v>27.96186696047096</v>
      </c>
      <c r="F89" s="149">
        <f ca="1">F86*C50</f>
        <v>79.249100926345463</v>
      </c>
      <c r="G89" s="149"/>
      <c r="H89" s="151">
        <f ca="1">H86*C50</f>
        <v>6.0484999999999998</v>
      </c>
    </row>
    <row r="90" spans="2:8" s="82" customFormat="1" x14ac:dyDescent="0.3">
      <c r="B90" s="122"/>
      <c r="C90" s="84"/>
      <c r="D90" s="84"/>
      <c r="E90" s="84"/>
      <c r="F90" s="84"/>
      <c r="G90" s="84"/>
      <c r="H90" s="114"/>
    </row>
    <row r="91" spans="2:8" s="82" customFormat="1" ht="28.8" x14ac:dyDescent="0.3">
      <c r="B91" s="208" t="s">
        <v>146</v>
      </c>
      <c r="C91" s="93">
        <f ca="1">ROUNDUP(MAX(D89:E89)*C29/75,0)</f>
        <v>1</v>
      </c>
      <c r="D91" s="298" t="s">
        <v>113</v>
      </c>
      <c r="E91" s="298"/>
      <c r="F91" s="298"/>
      <c r="G91" s="298"/>
      <c r="H91" s="299"/>
    </row>
    <row r="92" spans="2:8" s="82" customFormat="1" ht="29.4" thickBot="1" x14ac:dyDescent="0.35">
      <c r="B92" s="209" t="s">
        <v>147</v>
      </c>
      <c r="C92" s="123">
        <f ca="1">ROUNDUP(F89/75*C29,0)</f>
        <v>2</v>
      </c>
      <c r="D92" s="300" t="s">
        <v>113</v>
      </c>
      <c r="E92" s="300"/>
      <c r="F92" s="300"/>
      <c r="G92" s="300"/>
      <c r="H92" s="301"/>
    </row>
    <row r="93" spans="2:8" s="82" customFormat="1" x14ac:dyDescent="0.3"/>
    <row r="94" spans="2:8" s="82" customFormat="1" x14ac:dyDescent="0.3"/>
    <row r="95" spans="2:8" s="82" customFormat="1" x14ac:dyDescent="0.3"/>
    <row r="96" spans="2:8" s="82" customFormat="1" x14ac:dyDescent="0.3"/>
    <row r="97" spans="2:10" s="82" customFormat="1" x14ac:dyDescent="0.3"/>
    <row r="98" spans="2:10" s="82" customFormat="1" x14ac:dyDescent="0.3"/>
    <row r="99" spans="2:10" s="82" customFormat="1" x14ac:dyDescent="0.3">
      <c r="B99" s="73"/>
      <c r="C99" s="73"/>
      <c r="D99" s="73"/>
      <c r="E99" s="73"/>
    </row>
    <row r="100" spans="2:10" s="82" customFormat="1" x14ac:dyDescent="0.3">
      <c r="B100" s="73"/>
      <c r="C100" s="73"/>
      <c r="D100" s="73"/>
      <c r="E100" s="73"/>
    </row>
    <row r="101" spans="2:10" s="82" customFormat="1" x14ac:dyDescent="0.3">
      <c r="B101" s="73"/>
      <c r="C101" s="73"/>
      <c r="D101" s="73"/>
      <c r="E101" s="73"/>
    </row>
    <row r="102" spans="2:10" s="82" customFormat="1" x14ac:dyDescent="0.3">
      <c r="B102" s="73"/>
      <c r="C102" s="73"/>
      <c r="D102" s="73"/>
      <c r="E102" s="73"/>
    </row>
    <row r="103" spans="2:10" s="82" customFormat="1" x14ac:dyDescent="0.3">
      <c r="B103" s="73"/>
      <c r="C103" s="73"/>
      <c r="D103" s="73"/>
      <c r="E103" s="73"/>
      <c r="F103" s="73"/>
      <c r="G103" s="73"/>
      <c r="H103" s="73"/>
    </row>
    <row r="104" spans="2:10" x14ac:dyDescent="0.3">
      <c r="I104" s="82"/>
      <c r="J104" s="82"/>
    </row>
    <row r="105" spans="2:10" x14ac:dyDescent="0.3">
      <c r="I105" s="82"/>
      <c r="J105" s="82"/>
    </row>
    <row r="106" spans="2:10" x14ac:dyDescent="0.3">
      <c r="J106" s="82"/>
    </row>
  </sheetData>
  <mergeCells count="50">
    <mergeCell ref="D91:H91"/>
    <mergeCell ref="D92:H92"/>
    <mergeCell ref="B52:H52"/>
    <mergeCell ref="B42:H42"/>
    <mergeCell ref="B88:H88"/>
    <mergeCell ref="B82:H82"/>
    <mergeCell ref="B74:H74"/>
    <mergeCell ref="B77:H77"/>
    <mergeCell ref="B85:H85"/>
    <mergeCell ref="D48:H48"/>
    <mergeCell ref="I2:J2"/>
    <mergeCell ref="D46:H46"/>
    <mergeCell ref="I7:J7"/>
    <mergeCell ref="E20:G20"/>
    <mergeCell ref="E16:G16"/>
    <mergeCell ref="E18:G18"/>
    <mergeCell ref="E19:G19"/>
    <mergeCell ref="B2:G2"/>
    <mergeCell ref="E15:G15"/>
    <mergeCell ref="E14:G14"/>
    <mergeCell ref="I8:J8"/>
    <mergeCell ref="I12:J12"/>
    <mergeCell ref="D29:G29"/>
    <mergeCell ref="D30:G30"/>
    <mergeCell ref="D37:G37"/>
    <mergeCell ref="D31:G31"/>
    <mergeCell ref="E21:G21"/>
    <mergeCell ref="E17:G17"/>
    <mergeCell ref="E25:G25"/>
    <mergeCell ref="D38:G38"/>
    <mergeCell ref="D50:G50"/>
    <mergeCell ref="D33:G33"/>
    <mergeCell ref="D34:G34"/>
    <mergeCell ref="D32:G32"/>
    <mergeCell ref="E22:G22"/>
    <mergeCell ref="E23:G23"/>
    <mergeCell ref="D28:G28"/>
    <mergeCell ref="E24:G24"/>
    <mergeCell ref="E26:G26"/>
    <mergeCell ref="B44:H44"/>
    <mergeCell ref="D45:H45"/>
    <mergeCell ref="D47:H47"/>
    <mergeCell ref="F10:G10"/>
    <mergeCell ref="F11:G11"/>
    <mergeCell ref="F12:G12"/>
    <mergeCell ref="D4:G4"/>
    <mergeCell ref="D5:G5"/>
    <mergeCell ref="F7:G7"/>
    <mergeCell ref="F8:G8"/>
    <mergeCell ref="F9:G9"/>
  </mergeCells>
  <dataValidations count="11">
    <dataValidation type="whole" operator="greaterThanOrEqual" showInputMessage="1" showErrorMessage="1" prompt="Plan enough SIP Server HA pairs to meet criteria A) CPU below 70%  B) Concurrent Calls &amp; Agent Connections per SIP Server HA Pair both under 15k" sqref="C29">
      <formula1>C48</formula1>
    </dataValidation>
    <dataValidation type="whole" errorStyle="warning" allowBlank="1" showInputMessage="1" showErrorMessage="1" error="Sure about that?" sqref="C40 C50">
      <formula1>1</formula1>
      <formula2>1024</formula2>
    </dataValidation>
    <dataValidation type="whole" errorStyle="warning" allowBlank="1" showInputMessage="1" showErrorMessage="1" error="Check the entry please" sqref="C31">
      <formula1>1</formula1>
      <formula2>1000000</formula2>
    </dataValidation>
    <dataValidation type="whole" errorStyle="warning" allowBlank="1" showInputMessage="1" showErrorMessage="1" error="Please double check the entry" sqref="C32">
      <formula1>0</formula1>
      <formula2>20</formula2>
    </dataValidation>
    <dataValidation type="whole" errorStyle="warning" allowBlank="1" showInputMessage="1" showErrorMessage="1" error="Please select between 0 and 10 proxies per SIP Server HA pair" sqref="C30">
      <formula1>0</formula1>
      <formula2>10</formula2>
    </dataValidation>
    <dataValidation type="decimal" allowBlank="1" showInputMessage="1" showErrorMessage="1" errorTitle="Exceed trashhold: 75%" sqref="J9">
      <formula1>0</formula1>
      <formula2>40</formula2>
    </dataValidation>
    <dataValidation type="decimal" allowBlank="1" showInputMessage="1" showErrorMessage="1" error="Please enter a valid number 0 - 100" sqref="C15:C21 C23:C27">
      <formula1>0</formula1>
      <formula2>100</formula2>
    </dataValidation>
    <dataValidation type="whole" allowBlank="1" showInputMessage="1" showErrorMessage="1" error="Please choose between 0 - 1000 treatments per call" sqref="C22">
      <formula1>0</formula1>
      <formula2>1000</formula2>
    </dataValidation>
    <dataValidation type="decimal" allowBlank="1" showInputMessage="1" showErrorMessage="1" error="Enter a duration between 0.1 and 1000000" sqref="D8:D12">
      <formula1>0.1</formula1>
      <formula2>1000000</formula2>
    </dataValidation>
    <dataValidation type="decimal" allowBlank="1" showInputMessage="1" showErrorMessage="1" error="Please select a valid call rate" sqref="C8:C12">
      <formula1>0</formula1>
      <formula2>10000</formula2>
    </dataValidation>
    <dataValidation type="list" allowBlank="1" showInputMessage="1" showErrorMessage="1" prompt="Select the platform from the drop down list" sqref="C5">
      <formula1>"Windows_all,Windows_trace,Linux_all,Linux_trace"</formula1>
    </dataValidation>
  </dataValidations>
  <pageMargins left="0.7" right="0.7" top="0.75" bottom="0.75" header="0.3" footer="0.3"/>
  <pageSetup orientation="portrait" r:id="rId1"/>
  <ignoredErrors>
    <ignoredError sqref="C5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4"/>
  <sheetViews>
    <sheetView zoomScale="90" zoomScaleNormal="90" workbookViewId="0">
      <selection activeCell="B36" sqref="B36:H36"/>
    </sheetView>
  </sheetViews>
  <sheetFormatPr defaultColWidth="8.69921875" defaultRowHeight="14.4" x14ac:dyDescent="0.3"/>
  <cols>
    <col min="1" max="1" width="1.5" style="73" customWidth="1"/>
    <col min="2" max="2" width="36.69921875" style="73" customWidth="1"/>
    <col min="3" max="3" width="14.69921875" style="73" customWidth="1"/>
    <col min="4" max="4" width="12" style="73" bestFit="1" customWidth="1"/>
    <col min="5" max="5" width="11.69921875" style="73" customWidth="1"/>
    <col min="6" max="7" width="11.3984375" style="73" bestFit="1" customWidth="1"/>
    <col min="8" max="8" width="5.19921875" style="73" customWidth="1"/>
    <col min="9" max="9" width="47.3984375" style="73" customWidth="1"/>
    <col min="10" max="10" width="7.8984375" style="73" customWidth="1"/>
    <col min="11" max="11" width="16.69921875" style="73" customWidth="1"/>
    <col min="12" max="12" width="13.8984375" style="73" customWidth="1"/>
    <col min="13" max="16384" width="8.69921875" style="73"/>
  </cols>
  <sheetData>
    <row r="1" spans="2:14" ht="4.2" customHeight="1" thickBot="1" x14ac:dyDescent="0.35"/>
    <row r="2" spans="2:14" ht="24.6" customHeight="1" x14ac:dyDescent="0.3">
      <c r="B2" s="287" t="s">
        <v>114</v>
      </c>
      <c r="C2" s="288"/>
      <c r="D2" s="288"/>
      <c r="E2" s="288"/>
      <c r="F2" s="288"/>
      <c r="G2" s="289"/>
      <c r="H2" s="74"/>
      <c r="I2" s="281" t="s">
        <v>115</v>
      </c>
      <c r="J2" s="282"/>
      <c r="K2" s="86"/>
      <c r="L2" s="75"/>
    </row>
    <row r="3" spans="2:14" ht="15.75" customHeight="1" thickBot="1" x14ac:dyDescent="0.35">
      <c r="B3" s="98"/>
      <c r="C3" s="87"/>
      <c r="D3" s="87"/>
      <c r="E3" s="87"/>
      <c r="F3" s="87"/>
      <c r="G3" s="99"/>
      <c r="H3" s="74"/>
      <c r="I3" s="124"/>
      <c r="J3" s="125"/>
      <c r="K3" s="85"/>
      <c r="L3" s="85"/>
      <c r="M3" s="86"/>
      <c r="N3" s="75"/>
    </row>
    <row r="4" spans="2:14" ht="15.75" customHeight="1" x14ac:dyDescent="0.3">
      <c r="B4" s="139" t="s">
        <v>68</v>
      </c>
      <c r="C4" s="196" t="s">
        <v>69</v>
      </c>
      <c r="D4" s="251" t="s">
        <v>0</v>
      </c>
      <c r="E4" s="251"/>
      <c r="F4" s="251"/>
      <c r="G4" s="252"/>
      <c r="H4" s="74"/>
      <c r="I4" s="126" t="s">
        <v>150</v>
      </c>
      <c r="J4" s="127">
        <f ca="1">C59</f>
        <v>1</v>
      </c>
      <c r="K4" s="85"/>
      <c r="L4" s="85"/>
      <c r="M4" s="86"/>
      <c r="N4" s="75"/>
    </row>
    <row r="5" spans="2:14" x14ac:dyDescent="0.3">
      <c r="B5" s="100" t="s">
        <v>74</v>
      </c>
      <c r="C5" s="117" t="s">
        <v>43</v>
      </c>
      <c r="D5" s="253"/>
      <c r="E5" s="253"/>
      <c r="F5" s="253"/>
      <c r="G5" s="254"/>
      <c r="I5" s="126" t="s">
        <v>151</v>
      </c>
      <c r="J5" s="127">
        <f ca="1">C60</f>
        <v>1</v>
      </c>
    </row>
    <row r="6" spans="2:14" ht="15" thickBot="1" x14ac:dyDescent="0.35">
      <c r="B6" s="338"/>
      <c r="C6" s="339"/>
      <c r="D6" s="339"/>
      <c r="E6" s="339"/>
      <c r="F6" s="339"/>
      <c r="G6" s="340"/>
      <c r="I6" s="132"/>
      <c r="J6" s="133"/>
    </row>
    <row r="7" spans="2:14" ht="27.6" x14ac:dyDescent="0.3">
      <c r="B7" s="139" t="s">
        <v>54</v>
      </c>
      <c r="C7" s="196" t="s">
        <v>75</v>
      </c>
      <c r="D7" s="255" t="s">
        <v>0</v>
      </c>
      <c r="E7" s="337"/>
      <c r="F7" s="337"/>
      <c r="G7" s="256"/>
      <c r="I7" s="285" t="str">
        <f>CONCATENATE("Using current plans with ", TEXT(C22,"#")," SIP Server HA Pair(s), each with ", TEXT(C26,"#")," SIP Proxies")</f>
        <v>Using current plans with 1 SIP Server HA Pair(s), each with  SIP Proxies</v>
      </c>
      <c r="J7" s="286"/>
    </row>
    <row r="8" spans="2:14" x14ac:dyDescent="0.3">
      <c r="B8" s="103" t="s">
        <v>57</v>
      </c>
      <c r="C8" s="118">
        <v>75</v>
      </c>
      <c r="D8" s="326"/>
      <c r="E8" s="324"/>
      <c r="F8" s="324"/>
      <c r="G8" s="325"/>
      <c r="H8" s="76"/>
      <c r="I8" s="292" t="s">
        <v>148</v>
      </c>
      <c r="J8" s="293"/>
    </row>
    <row r="9" spans="2:14" x14ac:dyDescent="0.3">
      <c r="B9" s="103"/>
      <c r="C9" s="118"/>
      <c r="D9" s="326"/>
      <c r="E9" s="324"/>
      <c r="F9" s="324"/>
      <c r="G9" s="325"/>
      <c r="H9" s="77"/>
      <c r="I9" s="129" t="s">
        <v>97</v>
      </c>
      <c r="J9" s="134">
        <f ca="1">D57/100</f>
        <v>0.41197902823090943</v>
      </c>
    </row>
    <row r="10" spans="2:14" x14ac:dyDescent="0.3">
      <c r="B10" s="103"/>
      <c r="C10" s="118"/>
      <c r="D10" s="326"/>
      <c r="E10" s="324"/>
      <c r="F10" s="324"/>
      <c r="G10" s="325"/>
      <c r="H10" s="77"/>
      <c r="I10" s="129" t="s">
        <v>98</v>
      </c>
      <c r="J10" s="134">
        <f ca="1">E57/100</f>
        <v>0.18975</v>
      </c>
    </row>
    <row r="11" spans="2:14" x14ac:dyDescent="0.3">
      <c r="B11" s="103"/>
      <c r="C11" s="118"/>
      <c r="D11" s="326"/>
      <c r="E11" s="324"/>
      <c r="F11" s="324"/>
      <c r="G11" s="325"/>
      <c r="H11" s="77"/>
      <c r="I11" s="135"/>
      <c r="J11" s="136"/>
    </row>
    <row r="12" spans="2:14" ht="16.5" customHeight="1" thickBot="1" x14ac:dyDescent="0.35">
      <c r="B12" s="141"/>
      <c r="C12" s="119"/>
      <c r="D12" s="333"/>
      <c r="E12" s="331"/>
      <c r="F12" s="331"/>
      <c r="G12" s="332"/>
      <c r="H12" s="77"/>
      <c r="I12" s="294" t="s">
        <v>149</v>
      </c>
      <c r="J12" s="295"/>
    </row>
    <row r="13" spans="2:14" ht="15" thickBot="1" x14ac:dyDescent="0.35">
      <c r="B13" s="327"/>
      <c r="C13" s="328"/>
      <c r="D13" s="328"/>
      <c r="E13" s="328"/>
      <c r="F13" s="328"/>
      <c r="G13" s="329"/>
      <c r="H13" s="77"/>
      <c r="I13" s="129" t="s">
        <v>99</v>
      </c>
      <c r="J13" s="134">
        <f ca="1">F57/100</f>
        <v>0.59021109008967176</v>
      </c>
    </row>
    <row r="14" spans="2:14" s="78" customFormat="1" ht="15.75" customHeight="1" x14ac:dyDescent="0.3">
      <c r="B14" s="197" t="s">
        <v>70</v>
      </c>
      <c r="C14" s="198" t="s">
        <v>126</v>
      </c>
      <c r="D14" s="334" t="s">
        <v>0</v>
      </c>
      <c r="E14" s="335"/>
      <c r="F14" s="335"/>
      <c r="G14" s="336"/>
      <c r="H14" s="77"/>
      <c r="I14" s="137"/>
      <c r="J14" s="131"/>
    </row>
    <row r="15" spans="2:14" s="80" customFormat="1" ht="15.75" customHeight="1" x14ac:dyDescent="0.3">
      <c r="B15" s="106" t="s">
        <v>84</v>
      </c>
      <c r="C15" s="200">
        <v>100</v>
      </c>
      <c r="D15" s="323"/>
      <c r="E15" s="324"/>
      <c r="F15" s="324"/>
      <c r="G15" s="325"/>
      <c r="H15" s="79"/>
      <c r="I15" s="138" t="s">
        <v>100</v>
      </c>
      <c r="J15" s="134">
        <f>H57/100</f>
        <v>0</v>
      </c>
    </row>
    <row r="16" spans="2:14" x14ac:dyDescent="0.3">
      <c r="B16" s="106" t="s">
        <v>85</v>
      </c>
      <c r="C16" s="200">
        <v>0</v>
      </c>
      <c r="D16" s="323"/>
      <c r="E16" s="324"/>
      <c r="F16" s="324"/>
      <c r="G16" s="325"/>
      <c r="H16" s="77"/>
      <c r="I16" s="128"/>
      <c r="J16" s="154"/>
    </row>
    <row r="17" spans="2:10" ht="16.5" customHeight="1" thickBot="1" x14ac:dyDescent="0.35">
      <c r="B17" s="107" t="s">
        <v>86</v>
      </c>
      <c r="C17" s="201">
        <v>100</v>
      </c>
      <c r="D17" s="330"/>
      <c r="E17" s="331"/>
      <c r="F17" s="331"/>
      <c r="G17" s="332"/>
      <c r="H17" s="77"/>
      <c r="I17" s="153" t="s">
        <v>119</v>
      </c>
      <c r="J17" s="127">
        <f>ROUND((C41*Network!NSIP_Redirect)/1000,0)</f>
        <v>188</v>
      </c>
    </row>
    <row r="18" spans="2:10" x14ac:dyDescent="0.3">
      <c r="B18" s="94"/>
      <c r="C18" s="94"/>
      <c r="D18" s="94"/>
      <c r="E18" s="322"/>
      <c r="F18" s="322"/>
      <c r="G18" s="322"/>
      <c r="H18" s="77"/>
      <c r="I18" s="135" t="s">
        <v>123</v>
      </c>
      <c r="J18" s="127">
        <f>ROUND(((C41*Network!NTlib_Redirect + (C43+C44+C45)*Network!NTLib_ISCC + C24*C41*(C25+Network!NTlib_data))*C23)/1000,0)</f>
        <v>3295</v>
      </c>
    </row>
    <row r="19" spans="2:10" x14ac:dyDescent="0.3">
      <c r="B19" s="94"/>
      <c r="C19" s="94"/>
      <c r="D19" s="94"/>
      <c r="E19" s="322"/>
      <c r="F19" s="322"/>
      <c r="G19" s="322"/>
      <c r="H19" s="77"/>
      <c r="I19" s="130"/>
      <c r="J19" s="162"/>
    </row>
    <row r="20" spans="2:10" s="78" customFormat="1" ht="15" thickBot="1" x14ac:dyDescent="0.35">
      <c r="B20" s="94"/>
      <c r="C20" s="94"/>
      <c r="D20" s="94"/>
      <c r="E20" s="322"/>
      <c r="F20" s="322"/>
      <c r="G20" s="322"/>
      <c r="H20" s="77"/>
      <c r="I20" s="163"/>
      <c r="J20" s="164"/>
    </row>
    <row r="21" spans="2:10" s="78" customFormat="1" x14ac:dyDescent="0.3">
      <c r="B21" s="139" t="s">
        <v>68</v>
      </c>
      <c r="C21" s="196" t="s">
        <v>69</v>
      </c>
      <c r="D21" s="251" t="s">
        <v>0</v>
      </c>
      <c r="E21" s="251"/>
      <c r="F21" s="251"/>
      <c r="G21" s="252"/>
      <c r="H21" s="77"/>
    </row>
    <row r="22" spans="2:10" x14ac:dyDescent="0.3">
      <c r="B22" s="101" t="s">
        <v>144</v>
      </c>
      <c r="C22" s="118">
        <v>1</v>
      </c>
      <c r="D22" s="262"/>
      <c r="E22" s="262"/>
      <c r="F22" s="262"/>
      <c r="G22" s="263"/>
      <c r="I22" s="155"/>
      <c r="J22" s="156"/>
    </row>
    <row r="23" spans="2:10" ht="30.75" customHeight="1" x14ac:dyDescent="0.3">
      <c r="B23" s="103" t="s">
        <v>104</v>
      </c>
      <c r="C23" s="118">
        <v>6</v>
      </c>
      <c r="D23" s="262" t="s">
        <v>105</v>
      </c>
      <c r="E23" s="262"/>
      <c r="F23" s="262"/>
      <c r="G23" s="263"/>
      <c r="I23" s="155"/>
      <c r="J23" s="156"/>
    </row>
    <row r="24" spans="2:10" x14ac:dyDescent="0.3">
      <c r="B24" s="103" t="s">
        <v>107</v>
      </c>
      <c r="C24" s="118">
        <v>3</v>
      </c>
      <c r="D24" s="266"/>
      <c r="E24" s="267"/>
      <c r="F24" s="267"/>
      <c r="G24" s="268"/>
      <c r="I24" s="155"/>
      <c r="J24" s="160"/>
    </row>
    <row r="25" spans="2:10" x14ac:dyDescent="0.3">
      <c r="B25" s="183" t="s">
        <v>108</v>
      </c>
      <c r="C25" s="184">
        <v>1024</v>
      </c>
      <c r="D25" s="269"/>
      <c r="E25" s="270"/>
      <c r="F25" s="270"/>
      <c r="G25" s="271"/>
      <c r="I25" s="155"/>
      <c r="J25" s="160"/>
    </row>
    <row r="26" spans="2:10" ht="15" thickBot="1" x14ac:dyDescent="0.35">
      <c r="B26" s="202"/>
      <c r="C26" s="184"/>
      <c r="D26" s="277"/>
      <c r="E26" s="277"/>
      <c r="F26" s="277"/>
      <c r="G26" s="278"/>
      <c r="I26" s="157"/>
      <c r="J26" s="78"/>
    </row>
    <row r="27" spans="2:10" x14ac:dyDescent="0.3">
      <c r="B27" s="203" t="s">
        <v>67</v>
      </c>
      <c r="C27" s="204">
        <v>30.5</v>
      </c>
      <c r="D27" s="318"/>
      <c r="E27" s="318"/>
      <c r="F27" s="318"/>
      <c r="G27" s="319"/>
      <c r="I27" s="155"/>
      <c r="J27" s="156"/>
    </row>
    <row r="28" spans="2:10" x14ac:dyDescent="0.3">
      <c r="B28" s="103" t="s">
        <v>120</v>
      </c>
      <c r="C28" s="118">
        <v>16</v>
      </c>
      <c r="D28" s="262"/>
      <c r="E28" s="262"/>
      <c r="F28" s="262"/>
      <c r="G28" s="263"/>
      <c r="I28" s="158"/>
      <c r="J28" s="159"/>
    </row>
    <row r="29" spans="2:10" x14ac:dyDescent="0.3">
      <c r="B29" s="103" t="s">
        <v>121</v>
      </c>
      <c r="C29" s="118">
        <v>30.5</v>
      </c>
      <c r="D29" s="261" t="s">
        <v>127</v>
      </c>
      <c r="E29" s="262"/>
      <c r="F29" s="262"/>
      <c r="G29" s="263"/>
      <c r="I29" s="155"/>
      <c r="J29" s="156"/>
    </row>
    <row r="30" spans="2:10" ht="28.2" thickBot="1" x14ac:dyDescent="0.35">
      <c r="B30" s="141" t="s">
        <v>122</v>
      </c>
      <c r="C30" s="119">
        <v>16</v>
      </c>
      <c r="D30" s="320"/>
      <c r="E30" s="320"/>
      <c r="F30" s="320"/>
      <c r="G30" s="321"/>
      <c r="I30" s="158"/>
      <c r="J30" s="159"/>
    </row>
    <row r="32" spans="2:10" s="75" customFormat="1" x14ac:dyDescent="0.3">
      <c r="B32" s="161"/>
      <c r="C32" s="152"/>
      <c r="D32" s="195"/>
      <c r="E32" s="195"/>
      <c r="F32" s="195"/>
      <c r="G32" s="195"/>
      <c r="I32" s="158"/>
      <c r="J32" s="159"/>
    </row>
    <row r="33" spans="2:10" s="78" customFormat="1" ht="15" thickBot="1" x14ac:dyDescent="0.35">
      <c r="B33" s="94"/>
      <c r="C33" s="97"/>
      <c r="D33" s="95"/>
      <c r="E33" s="96"/>
      <c r="F33" s="96"/>
      <c r="G33" s="96"/>
      <c r="H33" s="77"/>
    </row>
    <row r="34" spans="2:10" s="78" customFormat="1" ht="18.600000000000001" thickBot="1" x14ac:dyDescent="0.35">
      <c r="B34" s="305" t="s">
        <v>103</v>
      </c>
      <c r="C34" s="306"/>
      <c r="D34" s="306"/>
      <c r="E34" s="306"/>
      <c r="F34" s="306"/>
      <c r="G34" s="306"/>
      <c r="H34" s="307"/>
    </row>
    <row r="35" spans="2:10" s="78" customFormat="1" x14ac:dyDescent="0.3">
      <c r="B35" s="110"/>
      <c r="C35" s="109"/>
      <c r="D35" s="109"/>
      <c r="E35" s="109"/>
      <c r="F35" s="109"/>
      <c r="G35" s="109"/>
      <c r="H35" s="111"/>
    </row>
    <row r="36" spans="2:10" s="78" customFormat="1" ht="15" thickBot="1" x14ac:dyDescent="0.35">
      <c r="B36" s="309" t="s">
        <v>72</v>
      </c>
      <c r="C36" s="310"/>
      <c r="D36" s="310"/>
      <c r="E36" s="310"/>
      <c r="F36" s="310"/>
      <c r="G36" s="310"/>
      <c r="H36" s="311"/>
      <c r="I36" s="81"/>
    </row>
    <row r="37" spans="2:10" ht="15" thickBot="1" x14ac:dyDescent="0.35">
      <c r="B37" s="205" t="s">
        <v>124</v>
      </c>
      <c r="C37" s="206">
        <f>C29/C27</f>
        <v>1</v>
      </c>
      <c r="D37" s="315"/>
      <c r="E37" s="316"/>
      <c r="F37" s="316"/>
      <c r="G37" s="316"/>
      <c r="H37" s="317"/>
      <c r="I37" s="158"/>
      <c r="J37" s="159"/>
    </row>
    <row r="38" spans="2:10" s="82" customFormat="1" ht="16.5" customHeight="1" thickBot="1" x14ac:dyDescent="0.35">
      <c r="B38" s="312" t="s">
        <v>2</v>
      </c>
      <c r="C38" s="313"/>
      <c r="D38" s="313"/>
      <c r="E38" s="313"/>
      <c r="F38" s="313"/>
      <c r="G38" s="313"/>
      <c r="H38" s="314"/>
    </row>
    <row r="39" spans="2:10" s="82" customFormat="1" ht="15.75" customHeight="1" x14ac:dyDescent="0.3">
      <c r="B39" s="302" t="s">
        <v>1</v>
      </c>
      <c r="C39" s="303"/>
      <c r="D39" s="303"/>
      <c r="E39" s="303"/>
      <c r="F39" s="303"/>
      <c r="G39" s="303"/>
      <c r="H39" s="304"/>
    </row>
    <row r="40" spans="2:10" ht="43.2" x14ac:dyDescent="0.3">
      <c r="B40" s="113" t="s">
        <v>33</v>
      </c>
      <c r="C40" s="88" t="s">
        <v>32</v>
      </c>
      <c r="D40" s="88" t="s">
        <v>78</v>
      </c>
      <c r="E40" s="88" t="s">
        <v>79</v>
      </c>
      <c r="F40" s="88" t="s">
        <v>80</v>
      </c>
      <c r="G40" s="88"/>
      <c r="H40" s="115"/>
      <c r="I40" s="82"/>
      <c r="J40" s="82"/>
    </row>
    <row r="41" spans="2:10" s="82" customFormat="1" x14ac:dyDescent="0.3">
      <c r="B41" s="83" t="s">
        <v>57</v>
      </c>
      <c r="C41" s="91">
        <f>C8/C22</f>
        <v>75</v>
      </c>
      <c r="D41" s="91">
        <f ca="1">C41*INDIRECT(platform&amp;"!MT_redirect")</f>
        <v>16.425000000000001</v>
      </c>
      <c r="E41" s="91">
        <f ca="1">C41*INDIRECT(platform&amp;"!CM_redirect")</f>
        <v>13.725</v>
      </c>
      <c r="F41" s="91">
        <f ca="1">C41*INDIRECT(platform&amp;"!ST_redirect")</f>
        <v>24.900000000000002</v>
      </c>
      <c r="G41" s="91"/>
      <c r="H41" s="116"/>
    </row>
    <row r="42" spans="2:10" s="82" customFormat="1" x14ac:dyDescent="0.3">
      <c r="B42" s="83"/>
      <c r="C42" s="91"/>
      <c r="D42" s="91"/>
      <c r="E42" s="91"/>
      <c r="F42" s="91"/>
      <c r="G42" s="91"/>
      <c r="H42" s="116"/>
    </row>
    <row r="43" spans="2:10" s="82" customFormat="1" x14ac:dyDescent="0.3">
      <c r="B43" s="199" t="s">
        <v>30</v>
      </c>
      <c r="C43" s="91">
        <f>C41*(C15/100)</f>
        <v>75</v>
      </c>
      <c r="D43" s="91">
        <f ca="1">C43*INDIRECT(platform&amp;"!MT_iscc_source")</f>
        <v>2.6250000000000004</v>
      </c>
      <c r="E43" s="91">
        <f ca="1">C43*INDIRECT(platform&amp;"!CM_iscc_source")</f>
        <v>0</v>
      </c>
      <c r="F43" s="91">
        <f ca="1">C43*INDIRECT(platform&amp;"!ST_iscc_source")</f>
        <v>2.6250000000000004</v>
      </c>
      <c r="G43" s="91"/>
      <c r="H43" s="116"/>
    </row>
    <row r="44" spans="2:10" s="82" customFormat="1" x14ac:dyDescent="0.3">
      <c r="B44" s="83" t="s">
        <v>42</v>
      </c>
      <c r="C44" s="91">
        <f>C41*(C16/100)</f>
        <v>0</v>
      </c>
      <c r="D44" s="91">
        <f ca="1">C44*INDIRECT(platform&amp;"!MT_iscc_directUUI")</f>
        <v>0</v>
      </c>
      <c r="E44" s="91">
        <f ca="1">C44*INDIRECT(platform&amp;"!CM_iscc_directUUI")</f>
        <v>0</v>
      </c>
      <c r="F44" s="91">
        <f ca="1">C44*INDIRECT(platform&amp;"!ST_iscc_directUUI")</f>
        <v>0</v>
      </c>
      <c r="G44" s="91"/>
      <c r="H44" s="116"/>
    </row>
    <row r="45" spans="2:10" s="82" customFormat="1" x14ac:dyDescent="0.3">
      <c r="B45" s="83" t="s">
        <v>31</v>
      </c>
      <c r="C45" s="91">
        <f>C41*(C17/100)</f>
        <v>75</v>
      </c>
      <c r="D45" s="91">
        <f ca="1">C45*INDIRECT(platform&amp;"!MT_iscc_route")</f>
        <v>12.675000000000001</v>
      </c>
      <c r="E45" s="91">
        <f ca="1">C45*INDIRECT(platform&amp;"!CM_iscc_route")</f>
        <v>5.2500000000000009</v>
      </c>
      <c r="F45" s="91">
        <f ca="1">C45*INDIRECT(platform&amp;"!ST_iscc_route")</f>
        <v>17.925000000000001</v>
      </c>
      <c r="G45" s="91"/>
      <c r="H45" s="116"/>
    </row>
    <row r="46" spans="2:10" s="82" customFormat="1" x14ac:dyDescent="0.3">
      <c r="B46" s="190"/>
      <c r="C46" s="91"/>
      <c r="D46" s="91"/>
      <c r="E46" s="91"/>
      <c r="F46" s="91"/>
      <c r="G46" s="91"/>
      <c r="H46" s="116"/>
    </row>
    <row r="47" spans="2:10" s="82" customFormat="1" x14ac:dyDescent="0.3">
      <c r="B47" s="121" t="s">
        <v>83</v>
      </c>
      <c r="C47" s="91"/>
      <c r="D47" s="92">
        <f ca="1">SUM(D41:D46)</f>
        <v>31.725000000000001</v>
      </c>
      <c r="E47" s="92">
        <f ca="1">SUM(E41:E46)</f>
        <v>18.975000000000001</v>
      </c>
      <c r="F47" s="91">
        <f ca="1">SUM(F41:F46)</f>
        <v>45.45</v>
      </c>
      <c r="G47" s="91"/>
      <c r="H47" s="116"/>
    </row>
    <row r="48" spans="2:10" s="82" customFormat="1" x14ac:dyDescent="0.3">
      <c r="B48" s="148"/>
      <c r="C48" s="149"/>
      <c r="D48" s="150"/>
      <c r="E48" s="150"/>
      <c r="F48" s="149"/>
      <c r="G48" s="149"/>
      <c r="H48" s="151"/>
    </row>
    <row r="49" spans="2:8" s="82" customFormat="1" x14ac:dyDescent="0.3">
      <c r="B49" s="148"/>
      <c r="C49" s="149"/>
      <c r="D49" s="150"/>
      <c r="E49" s="150"/>
      <c r="F49" s="149"/>
      <c r="G49" s="149"/>
      <c r="H49" s="151"/>
    </row>
    <row r="50" spans="2:8" s="82" customFormat="1" ht="15" customHeight="1" x14ac:dyDescent="0.3">
      <c r="B50" s="274" t="s">
        <v>117</v>
      </c>
      <c r="C50" s="275"/>
      <c r="D50" s="275"/>
      <c r="E50" s="275"/>
      <c r="F50" s="275"/>
      <c r="G50" s="275"/>
      <c r="H50" s="276"/>
    </row>
    <row r="51" spans="2:8" s="82" customFormat="1" x14ac:dyDescent="0.3">
      <c r="B51" s="148"/>
      <c r="C51" s="149"/>
      <c r="D51" s="150">
        <f ca="1">D47*(1 +C24*INDIRECT(platform&amp;"!MT_update"))*(1+C24*C25*INDIRECT(platform&amp;"!MT_attach"))</f>
        <v>36.783841806331196</v>
      </c>
      <c r="E51" s="150">
        <f ca="1">E47*(1 +C24*INDIRECT(platform&amp;"!CM_update"))*(1+C24*C25*INDIRECT(platform&amp;"!CM_attach"))</f>
        <v>18.975000000000001</v>
      </c>
      <c r="F51" s="149">
        <f ca="1">F47*(1 +C24*INDIRECT(platform&amp;"!ST_update"))*(1+C24*C25*INDIRECT(platform&amp;"!ST_attach"))</f>
        <v>52.6974187580064</v>
      </c>
      <c r="G51" s="149"/>
      <c r="H51" s="151"/>
    </row>
    <row r="52" spans="2:8" s="82" customFormat="1" x14ac:dyDescent="0.3">
      <c r="B52" s="148"/>
      <c r="C52" s="149"/>
      <c r="D52" s="150"/>
      <c r="E52" s="150"/>
      <c r="F52" s="149"/>
      <c r="G52" s="149"/>
      <c r="H52" s="151"/>
    </row>
    <row r="53" spans="2:8" s="82" customFormat="1" ht="15" customHeight="1" x14ac:dyDescent="0.3">
      <c r="B53" s="274" t="s">
        <v>118</v>
      </c>
      <c r="C53" s="275"/>
      <c r="D53" s="275"/>
      <c r="E53" s="275"/>
      <c r="F53" s="275"/>
      <c r="G53" s="275"/>
      <c r="H53" s="276"/>
    </row>
    <row r="54" spans="2:8" s="82" customFormat="1" x14ac:dyDescent="0.3">
      <c r="B54" s="148"/>
      <c r="C54" s="149"/>
      <c r="D54" s="150">
        <f ca="1">D51*(1+C23*INDIRECT(platform&amp;"!MT_mclients"))</f>
        <v>41.197902823090942</v>
      </c>
      <c r="E54" s="150">
        <f ca="1">E51*(1+C23*INDIRECT(platform&amp;"!CM_mclients"))</f>
        <v>18.975000000000001</v>
      </c>
      <c r="F54" s="149">
        <f ca="1">F51*(1+C23*INDIRECT(platform&amp;"!ST_mclients"))</f>
        <v>59.021109008967173</v>
      </c>
      <c r="G54" s="149"/>
      <c r="H54" s="151">
        <f>H51</f>
        <v>0</v>
      </c>
    </row>
    <row r="55" spans="2:8" s="82" customFormat="1" x14ac:dyDescent="0.3">
      <c r="B55" s="148"/>
      <c r="C55" s="149"/>
      <c r="D55" s="150"/>
      <c r="E55" s="150"/>
      <c r="F55" s="149"/>
      <c r="G55" s="149"/>
      <c r="H55" s="151"/>
    </row>
    <row r="56" spans="2:8" s="82" customFormat="1" ht="15" customHeight="1" x14ac:dyDescent="0.3">
      <c r="B56" s="274" t="s">
        <v>125</v>
      </c>
      <c r="C56" s="275"/>
      <c r="D56" s="275"/>
      <c r="E56" s="275"/>
      <c r="F56" s="275"/>
      <c r="G56" s="275"/>
      <c r="H56" s="276"/>
    </row>
    <row r="57" spans="2:8" s="82" customFormat="1" x14ac:dyDescent="0.3">
      <c r="B57" s="148"/>
      <c r="C57" s="149"/>
      <c r="D57" s="150">
        <f ca="1">D54*C37</f>
        <v>41.197902823090942</v>
      </c>
      <c r="E57" s="150">
        <f ca="1">E54*C37</f>
        <v>18.975000000000001</v>
      </c>
      <c r="F57" s="149">
        <f ca="1">F54*C37</f>
        <v>59.021109008967173</v>
      </c>
      <c r="G57" s="149"/>
      <c r="H57" s="151">
        <f>H54*C37</f>
        <v>0</v>
      </c>
    </row>
    <row r="58" spans="2:8" s="82" customFormat="1" x14ac:dyDescent="0.3">
      <c r="B58" s="122"/>
      <c r="C58" s="84"/>
      <c r="D58" s="84"/>
      <c r="E58" s="84"/>
      <c r="F58" s="84"/>
      <c r="G58" s="84"/>
      <c r="H58" s="114"/>
    </row>
    <row r="59" spans="2:8" s="82" customFormat="1" ht="28.8" x14ac:dyDescent="0.3">
      <c r="B59" s="208" t="s">
        <v>146</v>
      </c>
      <c r="C59" s="93">
        <f ca="1">ROUNDUP(MAX(D54:E54)*C22/75,0)</f>
        <v>1</v>
      </c>
      <c r="D59" s="298" t="s">
        <v>113</v>
      </c>
      <c r="E59" s="298"/>
      <c r="F59" s="298"/>
      <c r="G59" s="298"/>
      <c r="H59" s="299"/>
    </row>
    <row r="60" spans="2:8" s="82" customFormat="1" ht="29.4" thickBot="1" x14ac:dyDescent="0.35">
      <c r="B60" s="209" t="s">
        <v>147</v>
      </c>
      <c r="C60" s="123">
        <f ca="1">ROUNDUP(F54/75*C22,0)</f>
        <v>1</v>
      </c>
      <c r="D60" s="300" t="s">
        <v>113</v>
      </c>
      <c r="E60" s="300"/>
      <c r="F60" s="300"/>
      <c r="G60" s="300"/>
      <c r="H60" s="301"/>
    </row>
    <row r="61" spans="2:8" s="82" customFormat="1" x14ac:dyDescent="0.3"/>
    <row r="62" spans="2:8" s="82" customFormat="1" x14ac:dyDescent="0.3"/>
    <row r="63" spans="2:8" s="82" customFormat="1" x14ac:dyDescent="0.3"/>
    <row r="64" spans="2:8" s="82" customFormat="1" x14ac:dyDescent="0.3"/>
    <row r="65" spans="2:10" s="82" customFormat="1" x14ac:dyDescent="0.3"/>
    <row r="66" spans="2:10" s="82" customFormat="1" x14ac:dyDescent="0.3"/>
    <row r="67" spans="2:10" s="82" customFormat="1" x14ac:dyDescent="0.3">
      <c r="B67" s="73"/>
      <c r="C67" s="73"/>
      <c r="D67" s="73"/>
      <c r="E67" s="73"/>
    </row>
    <row r="68" spans="2:10" s="82" customFormat="1" ht="15" customHeight="1" x14ac:dyDescent="0.3">
      <c r="B68" s="73"/>
      <c r="C68" s="73"/>
      <c r="D68" s="73"/>
      <c r="E68" s="73"/>
    </row>
    <row r="69" spans="2:10" s="82" customFormat="1" x14ac:dyDescent="0.3">
      <c r="B69" s="73"/>
      <c r="C69" s="73"/>
      <c r="D69" s="73"/>
      <c r="E69" s="73"/>
    </row>
    <row r="70" spans="2:10" s="82" customFormat="1" x14ac:dyDescent="0.3">
      <c r="B70" s="73"/>
      <c r="C70" s="73"/>
      <c r="D70" s="73"/>
      <c r="E70" s="73"/>
    </row>
    <row r="71" spans="2:10" s="82" customFormat="1" x14ac:dyDescent="0.3">
      <c r="B71" s="73"/>
      <c r="C71" s="73"/>
      <c r="D71" s="73"/>
      <c r="E71" s="73"/>
      <c r="F71" s="73"/>
      <c r="G71" s="73"/>
      <c r="H71" s="73"/>
    </row>
    <row r="72" spans="2:10" x14ac:dyDescent="0.3">
      <c r="I72" s="82"/>
      <c r="J72" s="82"/>
    </row>
    <row r="73" spans="2:10" x14ac:dyDescent="0.3">
      <c r="I73" s="82"/>
      <c r="J73" s="82"/>
    </row>
    <row r="74" spans="2:10" x14ac:dyDescent="0.3">
      <c r="J74" s="82"/>
    </row>
  </sheetData>
  <mergeCells count="42">
    <mergeCell ref="B2:G2"/>
    <mergeCell ref="I2:J2"/>
    <mergeCell ref="D4:G4"/>
    <mergeCell ref="D5:G5"/>
    <mergeCell ref="I7:J7"/>
    <mergeCell ref="D7:G7"/>
    <mergeCell ref="B6:G6"/>
    <mergeCell ref="D16:G16"/>
    <mergeCell ref="E18:G18"/>
    <mergeCell ref="E19:G19"/>
    <mergeCell ref="I8:J8"/>
    <mergeCell ref="I12:J12"/>
    <mergeCell ref="D9:G9"/>
    <mergeCell ref="D10:G10"/>
    <mergeCell ref="B13:G13"/>
    <mergeCell ref="D17:G17"/>
    <mergeCell ref="D11:G11"/>
    <mergeCell ref="D12:G12"/>
    <mergeCell ref="D14:G14"/>
    <mergeCell ref="D8:G8"/>
    <mergeCell ref="D15:G15"/>
    <mergeCell ref="E20:G20"/>
    <mergeCell ref="D21:G21"/>
    <mergeCell ref="D22:G22"/>
    <mergeCell ref="D26:G26"/>
    <mergeCell ref="D24:G24"/>
    <mergeCell ref="D25:G25"/>
    <mergeCell ref="D23:G23"/>
    <mergeCell ref="D27:G27"/>
    <mergeCell ref="D28:G28"/>
    <mergeCell ref="D29:G29"/>
    <mergeCell ref="D30:G30"/>
    <mergeCell ref="B34:H34"/>
    <mergeCell ref="B36:H36"/>
    <mergeCell ref="D59:H59"/>
    <mergeCell ref="D60:H60"/>
    <mergeCell ref="B39:H39"/>
    <mergeCell ref="B50:H50"/>
    <mergeCell ref="B53:H53"/>
    <mergeCell ref="B56:H56"/>
    <mergeCell ref="B38:H38"/>
    <mergeCell ref="D37:H37"/>
  </mergeCells>
  <dataValidations count="10">
    <dataValidation type="whole" errorStyle="warning" allowBlank="1" showInputMessage="1" showErrorMessage="1" error="Sure about that?" sqref="C37 C32 C30 C28">
      <formula1>1</formula1>
      <formula2>1024</formula2>
    </dataValidation>
    <dataValidation type="whole" operator="greaterThanOrEqual" showInputMessage="1" showErrorMessage="1" prompt="Plan enough SIP Server HA pairs to meet criteria: CPU below 75%  " sqref="C22">
      <formula1>C59</formula1>
    </dataValidation>
    <dataValidation type="whole" errorStyle="warning" allowBlank="1" showInputMessage="1" showErrorMessage="1" error="Please select between 0 and 10 proxies per SIP Server HA pair" sqref="C26">
      <formula1>0</formula1>
      <formula2>10</formula2>
    </dataValidation>
    <dataValidation type="whole" allowBlank="1" showInputMessage="1" showErrorMessage="1" error="Please choose between 0 - 1000 treatments per call" sqref="C20">
      <formula1>0</formula1>
      <formula2>1000</formula2>
    </dataValidation>
    <dataValidation type="whole" errorStyle="warning" allowBlank="1" showInputMessage="1" showErrorMessage="1" error="Please double check the entry" sqref="C23">
      <formula1>0</formula1>
      <formula2>20</formula2>
    </dataValidation>
    <dataValidation type="list" allowBlank="1" showInputMessage="1" showErrorMessage="1" prompt="Select the platform from the drop down list" sqref="C5">
      <formula1>"Windows_all,Windows_trace,Linux_all,Linux_trace"</formula1>
    </dataValidation>
    <dataValidation type="decimal" allowBlank="1" showInputMessage="1" showErrorMessage="1" error="Please select a valid call rate" sqref="C8:C12">
      <formula1>0</formula1>
      <formula2>10000</formula2>
    </dataValidation>
    <dataValidation type="decimal" allowBlank="1" showInputMessage="1" showErrorMessage="1" error="Enter a duration between 0.1 and 1000000" sqref="D8:D12">
      <formula1>0.1</formula1>
      <formula2>1000000</formula2>
    </dataValidation>
    <dataValidation type="decimal" allowBlank="1" showInputMessage="1" showErrorMessage="1" error="Please enter a valid number 0 - 100" sqref="C15:C19">
      <formula1>0</formula1>
      <formula2>100</formula2>
    </dataValidation>
    <dataValidation type="decimal" allowBlank="1" showInputMessage="1" showErrorMessage="1" errorTitle="Exceed trashhold: 75%" sqref="J9">
      <formula1>0</formula1>
      <formula2>40</formula2>
    </dataValidation>
  </dataValidations>
  <pageMargins left="0.7" right="0.7" top="0.75" bottom="0.75" header="0.3" footer="0.3"/>
  <pageSetup orientation="portrait" r:id="rId1"/>
  <ignoredErrors>
    <ignoredError sqref="D44" formula="1"/>
    <ignoredError sqref="C3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xSplit="1" ySplit="2" topLeftCell="B3" activePane="bottomRight" state="frozen"/>
      <selection pane="topRight" activeCell="B1" sqref="B1"/>
      <selection pane="bottomLeft" activeCell="A3" sqref="A3"/>
      <selection pane="bottomRight" activeCell="B14" sqref="B14"/>
    </sheetView>
  </sheetViews>
  <sheetFormatPr defaultRowHeight="15.6" x14ac:dyDescent="0.3"/>
  <cols>
    <col min="1" max="1" width="30" customWidth="1"/>
    <col min="6" max="6" width="11.5" customWidth="1"/>
    <col min="9" max="9" width="10" customWidth="1"/>
  </cols>
  <sheetData>
    <row r="1" spans="1:7" x14ac:dyDescent="0.3">
      <c r="A1" s="341" t="s">
        <v>24</v>
      </c>
      <c r="B1" s="347" t="s">
        <v>48</v>
      </c>
      <c r="C1" s="347"/>
      <c r="D1" s="347"/>
      <c r="E1" s="348"/>
      <c r="F1" s="343" t="s">
        <v>0</v>
      </c>
    </row>
    <row r="2" spans="1:7" ht="46.8" x14ac:dyDescent="0.3">
      <c r="A2" s="342"/>
      <c r="B2" s="12" t="s">
        <v>3</v>
      </c>
      <c r="C2" s="12" t="s">
        <v>4</v>
      </c>
      <c r="D2" s="12" t="s">
        <v>6</v>
      </c>
      <c r="E2" s="12" t="s">
        <v>26</v>
      </c>
      <c r="F2" s="344"/>
    </row>
    <row r="3" spans="1:7" s="3" customFormat="1" x14ac:dyDescent="0.3">
      <c r="A3" s="22" t="s">
        <v>7</v>
      </c>
      <c r="B3" s="214">
        <v>0.36787564766839381</v>
      </c>
      <c r="C3" s="215">
        <v>0.44196891191709847</v>
      </c>
      <c r="D3" s="4">
        <f>B3+C3</f>
        <v>0.80984455958549229</v>
      </c>
      <c r="E3" s="55">
        <v>0.11700000000000001</v>
      </c>
      <c r="F3" s="16"/>
    </row>
    <row r="4" spans="1:7" s="3" customFormat="1" x14ac:dyDescent="0.3">
      <c r="A4" s="19" t="s">
        <v>8</v>
      </c>
      <c r="B4" s="214">
        <v>0.20135512156237553</v>
      </c>
      <c r="C4" s="215">
        <v>0.31572339577520919</v>
      </c>
      <c r="D4" s="4">
        <f t="shared" ref="D4:D19" si="0">B4+C4</f>
        <v>0.5170785173375847</v>
      </c>
      <c r="E4" s="55">
        <v>0.128</v>
      </c>
      <c r="F4" s="13"/>
    </row>
    <row r="5" spans="1:7" s="3" customFormat="1" x14ac:dyDescent="0.3">
      <c r="A5" s="19" t="s">
        <v>9</v>
      </c>
      <c r="B5" s="214">
        <v>0.47918317586101805</v>
      </c>
      <c r="C5" s="215">
        <v>1.0668546174946663</v>
      </c>
      <c r="D5" s="4">
        <f t="shared" si="0"/>
        <v>1.5460377933556844</v>
      </c>
      <c r="E5" s="55">
        <v>0.51100000000000001</v>
      </c>
      <c r="F5" s="13"/>
      <c r="G5" s="12"/>
    </row>
    <row r="6" spans="1:7" s="3" customFormat="1" x14ac:dyDescent="0.3">
      <c r="A6" s="19" t="s">
        <v>10</v>
      </c>
      <c r="B6" s="214">
        <v>0.11981666002391385</v>
      </c>
      <c r="C6" s="215">
        <v>0.57033878039059371</v>
      </c>
      <c r="D6" s="4">
        <f t="shared" si="0"/>
        <v>0.6901554404145076</v>
      </c>
      <c r="E6" s="55">
        <v>0.26500000000000001</v>
      </c>
      <c r="F6" s="13"/>
    </row>
    <row r="7" spans="1:7" s="3" customFormat="1" x14ac:dyDescent="0.3">
      <c r="A7" s="19" t="s">
        <v>11</v>
      </c>
      <c r="B7" s="214">
        <v>0.37035964644925329</v>
      </c>
      <c r="C7" s="215">
        <v>1.016854617494666</v>
      </c>
      <c r="D7" s="4">
        <f>B7+C7</f>
        <v>1.3872142639439193</v>
      </c>
      <c r="E7" s="55">
        <v>0.437</v>
      </c>
      <c r="F7" s="13"/>
    </row>
    <row r="8" spans="1:7" s="3" customFormat="1" x14ac:dyDescent="0.3">
      <c r="A8" s="19" t="s">
        <v>12</v>
      </c>
      <c r="B8" s="214">
        <v>0.60904742925468325</v>
      </c>
      <c r="C8" s="215">
        <v>1.7964926265444401</v>
      </c>
      <c r="D8" s="4">
        <f t="shared" si="0"/>
        <v>2.4055400557991233</v>
      </c>
      <c r="E8" s="55">
        <v>0.90700000000000003</v>
      </c>
      <c r="F8" s="13"/>
    </row>
    <row r="9" spans="1:7" s="3" customFormat="1" x14ac:dyDescent="0.3">
      <c r="A9" s="19" t="s">
        <v>13</v>
      </c>
      <c r="B9" s="214">
        <v>0.45124199939042969</v>
      </c>
      <c r="C9" s="215">
        <v>1.0727369704358429</v>
      </c>
      <c r="D9" s="4">
        <f t="shared" si="0"/>
        <v>1.5239789698262727</v>
      </c>
      <c r="E9" s="55">
        <v>0.496</v>
      </c>
      <c r="F9" s="13"/>
    </row>
    <row r="10" spans="1:7" s="3" customFormat="1" x14ac:dyDescent="0.3">
      <c r="A10" s="19" t="s">
        <v>14</v>
      </c>
      <c r="B10" s="214">
        <v>0.30796178343949043</v>
      </c>
      <c r="C10" s="215">
        <v>0.47929936305732485</v>
      </c>
      <c r="D10" s="4">
        <f t="shared" si="0"/>
        <v>0.78726114649681533</v>
      </c>
      <c r="E10" s="55">
        <v>0.21099999999999999</v>
      </c>
      <c r="F10" s="13"/>
    </row>
    <row r="11" spans="1:7" s="3" customFormat="1" x14ac:dyDescent="0.3">
      <c r="A11" s="29" t="s">
        <v>20</v>
      </c>
      <c r="B11" s="214">
        <v>0.13212435233160613</v>
      </c>
      <c r="C11" s="215">
        <v>0.27956954962136304</v>
      </c>
      <c r="D11" s="4">
        <f t="shared" si="0"/>
        <v>0.41169390195296918</v>
      </c>
      <c r="E11" s="55">
        <v>0.14699999999999999</v>
      </c>
      <c r="F11" s="13"/>
    </row>
    <row r="12" spans="1:7" s="3" customFormat="1" x14ac:dyDescent="0.3">
      <c r="A12" s="29" t="s">
        <v>21</v>
      </c>
      <c r="B12" s="214">
        <v>0.12923076923076926</v>
      </c>
      <c r="C12" s="215">
        <v>9.2307692307692243E-2</v>
      </c>
      <c r="D12" s="4">
        <f t="shared" si="0"/>
        <v>0.22153846153846152</v>
      </c>
      <c r="E12" s="55">
        <v>4.2000000000000003E-2</v>
      </c>
      <c r="F12" s="13"/>
    </row>
    <row r="13" spans="1:7" s="3" customFormat="1" x14ac:dyDescent="0.3">
      <c r="A13" s="4" t="s">
        <v>25</v>
      </c>
      <c r="B13" s="214">
        <v>0.2997714111551355</v>
      </c>
      <c r="C13" s="215">
        <v>0.82567814690643082</v>
      </c>
      <c r="D13" s="4">
        <f t="shared" si="0"/>
        <v>1.1254495580615664</v>
      </c>
      <c r="E13" s="55">
        <v>0.32700000000000001</v>
      </c>
      <c r="F13" s="13"/>
    </row>
    <row r="14" spans="1:7" s="3" customFormat="1" x14ac:dyDescent="0.3">
      <c r="A14" s="4" t="s">
        <v>44</v>
      </c>
      <c r="B14" s="214">
        <v>0.5788461538461539</v>
      </c>
      <c r="C14" s="215">
        <v>0.97499999999999998</v>
      </c>
      <c r="D14" s="4">
        <f t="shared" si="0"/>
        <v>1.5538461538461539</v>
      </c>
      <c r="E14" s="55">
        <v>0.41899999999999998</v>
      </c>
      <c r="F14" s="13"/>
    </row>
    <row r="15" spans="1:7" s="3" customFormat="1" x14ac:dyDescent="0.3">
      <c r="A15" s="4" t="s">
        <v>41</v>
      </c>
      <c r="B15" s="214">
        <v>0.96538461538461529</v>
      </c>
      <c r="C15" s="215">
        <v>0.89230769230769236</v>
      </c>
      <c r="D15" s="4">
        <f t="shared" si="0"/>
        <v>1.8576923076923078</v>
      </c>
      <c r="E15" s="55">
        <v>0.34</v>
      </c>
      <c r="F15" s="13"/>
    </row>
    <row r="16" spans="1:7" s="3" customFormat="1" x14ac:dyDescent="0.3">
      <c r="A16" s="4" t="s">
        <v>143</v>
      </c>
      <c r="B16" s="55">
        <v>0.219</v>
      </c>
      <c r="C16" s="55">
        <v>0.183</v>
      </c>
      <c r="D16" s="4">
        <v>0.33200000000000002</v>
      </c>
      <c r="E16" s="55">
        <v>0</v>
      </c>
      <c r="F16" s="13"/>
    </row>
    <row r="17" spans="1:6" s="3" customFormat="1" x14ac:dyDescent="0.3">
      <c r="A17" s="4" t="s">
        <v>30</v>
      </c>
      <c r="B17" s="54">
        <v>3.5000000000000003E-2</v>
      </c>
      <c r="C17" s="54">
        <v>0</v>
      </c>
      <c r="D17" s="4">
        <f t="shared" si="0"/>
        <v>3.5000000000000003E-2</v>
      </c>
      <c r="E17" s="4">
        <v>0</v>
      </c>
      <c r="F17" s="13"/>
    </row>
    <row r="18" spans="1:6" s="3" customFormat="1" x14ac:dyDescent="0.3">
      <c r="A18" s="4" t="s">
        <v>42</v>
      </c>
      <c r="B18" s="54">
        <v>2.9000000000000001E-2</v>
      </c>
      <c r="C18" s="54">
        <v>0</v>
      </c>
      <c r="D18" s="4">
        <f t="shared" si="0"/>
        <v>2.9000000000000001E-2</v>
      </c>
      <c r="E18" s="4">
        <v>0</v>
      </c>
      <c r="F18" s="13"/>
    </row>
    <row r="19" spans="1:6" s="3" customFormat="1" x14ac:dyDescent="0.3">
      <c r="A19" s="4" t="s">
        <v>31</v>
      </c>
      <c r="B19" s="54">
        <v>0.16900000000000001</v>
      </c>
      <c r="C19" s="54">
        <v>7.0000000000000007E-2</v>
      </c>
      <c r="D19" s="4">
        <f t="shared" si="0"/>
        <v>0.23900000000000002</v>
      </c>
      <c r="E19" s="4">
        <v>0</v>
      </c>
      <c r="F19" s="13"/>
    </row>
    <row r="20" spans="1:6" s="3" customFormat="1" x14ac:dyDescent="0.3">
      <c r="A20" s="4"/>
      <c r="B20" s="4"/>
      <c r="C20" s="4"/>
      <c r="D20" s="4"/>
      <c r="E20" s="4"/>
      <c r="F20" s="13"/>
    </row>
    <row r="21" spans="1:6" s="3" customFormat="1" x14ac:dyDescent="0.3">
      <c r="A21" s="20"/>
      <c r="F21" s="14"/>
    </row>
    <row r="22" spans="1:6" s="3" customFormat="1" x14ac:dyDescent="0.3">
      <c r="A22" s="21" t="s">
        <v>5</v>
      </c>
      <c r="B22" s="345">
        <v>15000</v>
      </c>
      <c r="C22" s="345"/>
      <c r="D22" s="346"/>
      <c r="E22" s="35"/>
      <c r="F22" s="15"/>
    </row>
    <row r="23" spans="1:6" s="3" customFormat="1" x14ac:dyDescent="0.3">
      <c r="A23" s="20"/>
    </row>
    <row r="24" spans="1:6" s="3" customFormat="1" x14ac:dyDescent="0.3">
      <c r="A24" s="18" t="s">
        <v>28</v>
      </c>
      <c r="B24" s="53">
        <v>1.4666999999999999E-2</v>
      </c>
      <c r="C24" s="10">
        <v>0</v>
      </c>
      <c r="D24" s="10">
        <f>B24</f>
        <v>1.4666999999999999E-2</v>
      </c>
      <c r="E24" s="10"/>
      <c r="F24" s="16"/>
    </row>
    <row r="25" spans="1:6" s="3" customFormat="1" x14ac:dyDescent="0.3">
      <c r="A25" s="7" t="s">
        <v>29</v>
      </c>
      <c r="B25" s="51">
        <v>3.6000000000000001E-5</v>
      </c>
      <c r="C25" s="8">
        <v>0</v>
      </c>
      <c r="D25" s="8">
        <f>B25</f>
        <v>3.6000000000000001E-5</v>
      </c>
      <c r="E25" s="8"/>
      <c r="F25" s="14"/>
    </row>
    <row r="26" spans="1:6" s="3" customFormat="1" x14ac:dyDescent="0.3">
      <c r="A26" s="20"/>
    </row>
    <row r="27" spans="1:6" s="3" customFormat="1" ht="31.2" x14ac:dyDescent="0.3">
      <c r="A27" s="28" t="s">
        <v>45</v>
      </c>
      <c r="B27" s="6">
        <v>1.7E-5</v>
      </c>
      <c r="C27" s="6">
        <v>0</v>
      </c>
      <c r="D27" s="6">
        <f>B27+C27</f>
        <v>1.7E-5</v>
      </c>
      <c r="E27" s="6"/>
      <c r="F27" s="5"/>
    </row>
    <row r="28" spans="1:6" s="3" customFormat="1" x14ac:dyDescent="0.3">
      <c r="A28" s="20"/>
    </row>
    <row r="29" spans="1:6" s="3" customFormat="1" ht="46.8" x14ac:dyDescent="0.3">
      <c r="A29" s="28" t="s">
        <v>46</v>
      </c>
      <c r="B29" s="6">
        <v>0.02</v>
      </c>
      <c r="C29" s="6">
        <v>0</v>
      </c>
      <c r="D29" s="6">
        <v>0.02</v>
      </c>
      <c r="E29" s="6"/>
      <c r="F29" s="5"/>
    </row>
    <row r="30" spans="1:6" s="3" customFormat="1" x14ac:dyDescent="0.3"/>
    <row r="31" spans="1:6" s="3" customFormat="1" ht="31.2" x14ac:dyDescent="0.3">
      <c r="A31" s="18" t="s">
        <v>128</v>
      </c>
      <c r="B31" s="10">
        <v>2.07E-2</v>
      </c>
      <c r="C31" s="10">
        <v>0</v>
      </c>
      <c r="D31" s="10">
        <v>2.07E-2</v>
      </c>
      <c r="E31" s="10"/>
      <c r="F31" s="16"/>
    </row>
    <row r="32" spans="1:6" s="3" customFormat="1" ht="31.2" x14ac:dyDescent="0.3">
      <c r="A32" s="7" t="s">
        <v>129</v>
      </c>
      <c r="B32" s="8">
        <v>2.7999999999999998E-4</v>
      </c>
      <c r="C32" s="8">
        <v>0</v>
      </c>
      <c r="D32" s="8">
        <v>2.7999999999999998E-4</v>
      </c>
      <c r="E32" s="8"/>
      <c r="F32" s="14"/>
    </row>
    <row r="33" spans="1:1" s="3" customFormat="1" x14ac:dyDescent="0.3"/>
    <row r="34" spans="1:1" s="3" customFormat="1" x14ac:dyDescent="0.3"/>
    <row r="35" spans="1:1" s="3" customFormat="1" x14ac:dyDescent="0.3"/>
    <row r="36" spans="1:1" s="3" customFormat="1" x14ac:dyDescent="0.3"/>
    <row r="37" spans="1:1" s="3" customFormat="1" x14ac:dyDescent="0.3"/>
    <row r="38" spans="1:1" s="2" customFormat="1" x14ac:dyDescent="0.3"/>
    <row r="39" spans="1:1" s="2" customFormat="1" x14ac:dyDescent="0.3"/>
    <row r="40" spans="1:1" s="2" customFormat="1" x14ac:dyDescent="0.3"/>
    <row r="41" spans="1:1" x14ac:dyDescent="0.3">
      <c r="A41" s="2"/>
    </row>
    <row r="42" spans="1:1" x14ac:dyDescent="0.3">
      <c r="A42" s="2"/>
    </row>
    <row r="43" spans="1:1" x14ac:dyDescent="0.3">
      <c r="A43" s="2"/>
    </row>
  </sheetData>
  <mergeCells count="4">
    <mergeCell ref="A1:A2"/>
    <mergeCell ref="F1:F2"/>
    <mergeCell ref="B22:D22"/>
    <mergeCell ref="B1:E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xSplit="1" ySplit="2" topLeftCell="B3" activePane="bottomRight" state="frozen"/>
      <selection pane="topRight" activeCell="B1" sqref="B1"/>
      <selection pane="bottomLeft" activeCell="A3" sqref="A3"/>
      <selection pane="bottomRight" activeCell="C3" sqref="C3:C15"/>
    </sheetView>
  </sheetViews>
  <sheetFormatPr defaultRowHeight="15.6" x14ac:dyDescent="0.3"/>
  <cols>
    <col min="1" max="1" width="30" customWidth="1"/>
    <col min="3" max="3" width="8.69921875" customWidth="1"/>
    <col min="4" max="4" width="10.3984375" customWidth="1"/>
    <col min="6" max="6" width="11.5" customWidth="1"/>
    <col min="9" max="9" width="10" customWidth="1"/>
  </cols>
  <sheetData>
    <row r="1" spans="1:7" x14ac:dyDescent="0.3">
      <c r="A1" s="341" t="s">
        <v>24</v>
      </c>
      <c r="B1" s="347" t="s">
        <v>48</v>
      </c>
      <c r="C1" s="347"/>
      <c r="D1" s="347"/>
      <c r="E1" s="348"/>
      <c r="F1" s="343" t="s">
        <v>0</v>
      </c>
    </row>
    <row r="2" spans="1:7" ht="46.8" x14ac:dyDescent="0.3">
      <c r="A2" s="342"/>
      <c r="B2" s="12" t="s">
        <v>3</v>
      </c>
      <c r="C2" s="12" t="s">
        <v>4</v>
      </c>
      <c r="D2" s="12" t="s">
        <v>6</v>
      </c>
      <c r="E2" s="12" t="s">
        <v>26</v>
      </c>
      <c r="F2" s="344"/>
    </row>
    <row r="3" spans="1:7" s="3" customFormat="1" x14ac:dyDescent="0.3">
      <c r="A3" s="22" t="s">
        <v>7</v>
      </c>
      <c r="B3" s="216">
        <v>0.23834196891191714</v>
      </c>
      <c r="C3" s="217">
        <v>0.35906735751295327</v>
      </c>
      <c r="D3" s="4">
        <f>B3+C3</f>
        <v>0.59740932642487043</v>
      </c>
      <c r="E3" s="49">
        <v>8.5000000000000006E-2</v>
      </c>
      <c r="F3" s="16"/>
    </row>
    <row r="4" spans="1:7" s="3" customFormat="1" x14ac:dyDescent="0.3">
      <c r="A4" s="19" t="s">
        <v>8</v>
      </c>
      <c r="B4" s="216">
        <v>0.1155041849342367</v>
      </c>
      <c r="C4" s="217">
        <v>0.20247110402550828</v>
      </c>
      <c r="D4" s="4">
        <f t="shared" ref="D4:D19" si="0">B4+C4</f>
        <v>0.31797528895974497</v>
      </c>
      <c r="E4" s="49">
        <v>6.6000000000000003E-2</v>
      </c>
      <c r="F4" s="13"/>
    </row>
    <row r="5" spans="1:7" s="3" customFormat="1" x14ac:dyDescent="0.3">
      <c r="A5" s="19" t="s">
        <v>9</v>
      </c>
      <c r="B5" s="216">
        <v>0.29989332520572981</v>
      </c>
      <c r="C5" s="217">
        <v>0.88505028954586973</v>
      </c>
      <c r="D5" s="4">
        <f t="shared" si="0"/>
        <v>1.1849436147515995</v>
      </c>
      <c r="E5" s="49">
        <v>0.39100000000000001</v>
      </c>
      <c r="F5" s="13"/>
      <c r="G5" s="12"/>
    </row>
    <row r="6" spans="1:7" s="3" customFormat="1" x14ac:dyDescent="0.3">
      <c r="A6" s="19" t="s">
        <v>10</v>
      </c>
      <c r="B6" s="216">
        <v>5.5504184934236693E-2</v>
      </c>
      <c r="C6" s="217">
        <v>0.47631725787166185</v>
      </c>
      <c r="D6" s="4">
        <f t="shared" si="0"/>
        <v>0.53182144280589849</v>
      </c>
      <c r="E6" s="49">
        <v>0.17599999999999999</v>
      </c>
      <c r="F6" s="13"/>
    </row>
    <row r="7" spans="1:7" s="3" customFormat="1" x14ac:dyDescent="0.3">
      <c r="A7" s="19" t="s">
        <v>11</v>
      </c>
      <c r="B7" s="216">
        <v>0.24695214873514165</v>
      </c>
      <c r="C7" s="217">
        <v>0.81152087778116433</v>
      </c>
      <c r="D7" s="4">
        <f t="shared" si="0"/>
        <v>1.058473026516306</v>
      </c>
      <c r="E7" s="49">
        <v>0.308</v>
      </c>
      <c r="F7" s="13"/>
    </row>
    <row r="8" spans="1:7" s="3" customFormat="1" x14ac:dyDescent="0.3">
      <c r="A8" s="19" t="s">
        <v>12</v>
      </c>
      <c r="B8" s="216">
        <v>0.40011956954962136</v>
      </c>
      <c r="C8" s="217">
        <v>1.4717018732562777</v>
      </c>
      <c r="D8" s="4">
        <f t="shared" si="0"/>
        <v>1.871821442805899</v>
      </c>
      <c r="E8" s="49">
        <v>0.67200000000000004</v>
      </c>
      <c r="F8" s="13"/>
    </row>
    <row r="9" spans="1:7" s="3" customFormat="1" x14ac:dyDescent="0.3">
      <c r="A9" s="19" t="s">
        <v>13</v>
      </c>
      <c r="B9" s="216">
        <v>0.32342273697043583</v>
      </c>
      <c r="C9" s="217">
        <v>0.93799146601645844</v>
      </c>
      <c r="D9" s="4">
        <f t="shared" si="0"/>
        <v>1.2614142029868942</v>
      </c>
      <c r="E9" s="49">
        <v>0.39100000000000001</v>
      </c>
      <c r="F9" s="13"/>
    </row>
    <row r="10" spans="1:7" s="3" customFormat="1" x14ac:dyDescent="0.3">
      <c r="A10" s="19" t="s">
        <v>14</v>
      </c>
      <c r="B10" s="216">
        <v>0.19585987261146495</v>
      </c>
      <c r="C10" s="217">
        <v>0.37388535031847137</v>
      </c>
      <c r="D10" s="4">
        <f t="shared" si="0"/>
        <v>0.56974522292993635</v>
      </c>
      <c r="E10" s="49">
        <v>0.152</v>
      </c>
      <c r="F10" s="13"/>
    </row>
    <row r="11" spans="1:7" s="3" customFormat="1" x14ac:dyDescent="0.3">
      <c r="A11" s="29" t="s">
        <v>20</v>
      </c>
      <c r="B11" s="216">
        <v>0.10011956954962137</v>
      </c>
      <c r="C11" s="217">
        <v>0.20554802710243142</v>
      </c>
      <c r="D11" s="4">
        <f t="shared" si="0"/>
        <v>0.30566759665205279</v>
      </c>
      <c r="E11" s="49">
        <v>0.10199999999999999</v>
      </c>
      <c r="F11" s="13"/>
    </row>
    <row r="12" spans="1:7" s="3" customFormat="1" x14ac:dyDescent="0.3">
      <c r="A12" s="29" t="s">
        <v>21</v>
      </c>
      <c r="B12" s="216">
        <v>9.3846153846153801E-2</v>
      </c>
      <c r="C12" s="217">
        <v>7.230769230769224E-2</v>
      </c>
      <c r="D12" s="4">
        <f t="shared" si="0"/>
        <v>0.16615384615384604</v>
      </c>
      <c r="E12" s="49">
        <v>2.4E-2</v>
      </c>
      <c r="F12" s="13"/>
    </row>
    <row r="13" spans="1:7" s="3" customFormat="1" x14ac:dyDescent="0.3">
      <c r="A13" s="4" t="s">
        <v>25</v>
      </c>
      <c r="B13" s="216">
        <v>0.22342273697043571</v>
      </c>
      <c r="C13" s="217">
        <v>0.74093264248704638</v>
      </c>
      <c r="D13" s="4">
        <f t="shared" si="0"/>
        <v>0.96435537945748206</v>
      </c>
      <c r="E13" s="49">
        <v>0.34200000000000003</v>
      </c>
      <c r="F13" s="13"/>
    </row>
    <row r="14" spans="1:7" s="3" customFormat="1" x14ac:dyDescent="0.3">
      <c r="A14" s="4" t="s">
        <v>44</v>
      </c>
      <c r="B14" s="216">
        <v>0.40961538461538466</v>
      </c>
      <c r="C14" s="217">
        <v>0.85961538461538467</v>
      </c>
      <c r="D14" s="4">
        <f t="shared" si="0"/>
        <v>1.2692307692307694</v>
      </c>
      <c r="E14" s="49">
        <v>0.26800000000000002</v>
      </c>
      <c r="F14" s="13"/>
    </row>
    <row r="15" spans="1:7" s="3" customFormat="1" x14ac:dyDescent="0.3">
      <c r="A15" s="4" t="s">
        <v>41</v>
      </c>
      <c r="B15" s="216">
        <v>0.68461538461538463</v>
      </c>
      <c r="C15" s="217">
        <v>0.67692307692307696</v>
      </c>
      <c r="D15" s="4">
        <f t="shared" si="0"/>
        <v>1.3615384615384616</v>
      </c>
      <c r="E15" s="49">
        <v>0.223</v>
      </c>
      <c r="F15" s="13"/>
    </row>
    <row r="16" spans="1:7" s="3" customFormat="1" x14ac:dyDescent="0.3">
      <c r="A16" s="4" t="s">
        <v>143</v>
      </c>
      <c r="B16" s="55">
        <v>0.14899999999999999</v>
      </c>
      <c r="C16" s="55">
        <v>0.155</v>
      </c>
      <c r="D16" s="4">
        <v>0.246</v>
      </c>
      <c r="E16" s="55">
        <v>0</v>
      </c>
      <c r="F16" s="13"/>
    </row>
    <row r="17" spans="1:6" s="3" customFormat="1" x14ac:dyDescent="0.3">
      <c r="A17" s="4" t="s">
        <v>30</v>
      </c>
      <c r="B17" s="48">
        <v>1.7999999999999999E-2</v>
      </c>
      <c r="C17" s="48">
        <v>1.7999999999999999E-2</v>
      </c>
      <c r="D17" s="4">
        <f t="shared" si="0"/>
        <v>3.5999999999999997E-2</v>
      </c>
      <c r="E17" s="4">
        <v>0</v>
      </c>
      <c r="F17" s="13"/>
    </row>
    <row r="18" spans="1:6" s="3" customFormat="1" x14ac:dyDescent="0.3">
      <c r="A18" s="4" t="s">
        <v>42</v>
      </c>
      <c r="B18" s="48">
        <v>1E-3</v>
      </c>
      <c r="C18" s="48">
        <v>0</v>
      </c>
      <c r="D18" s="4">
        <f t="shared" si="0"/>
        <v>1E-3</v>
      </c>
      <c r="E18" s="4">
        <v>0</v>
      </c>
      <c r="F18" s="13"/>
    </row>
    <row r="19" spans="1:6" s="3" customFormat="1" x14ac:dyDescent="0.3">
      <c r="A19" s="4" t="s">
        <v>31</v>
      </c>
      <c r="B19" s="48">
        <v>7.6999999999999999E-2</v>
      </c>
      <c r="C19" s="48">
        <v>4.0000000000000001E-3</v>
      </c>
      <c r="D19" s="4">
        <f t="shared" si="0"/>
        <v>8.1000000000000003E-2</v>
      </c>
      <c r="E19" s="4">
        <v>0</v>
      </c>
      <c r="F19" s="13"/>
    </row>
    <row r="20" spans="1:6" s="3" customFormat="1" x14ac:dyDescent="0.3">
      <c r="A20" s="4"/>
      <c r="B20"/>
      <c r="C20"/>
      <c r="D20" s="4"/>
      <c r="E20" s="4"/>
      <c r="F20" s="13"/>
    </row>
    <row r="21" spans="1:6" s="3" customFormat="1" x14ac:dyDescent="0.3">
      <c r="A21" s="20"/>
      <c r="F21" s="14"/>
    </row>
    <row r="22" spans="1:6" s="3" customFormat="1" x14ac:dyDescent="0.3">
      <c r="A22" s="21" t="s">
        <v>5</v>
      </c>
      <c r="B22" s="349">
        <v>15000</v>
      </c>
      <c r="C22" s="345"/>
      <c r="D22" s="346"/>
      <c r="E22" s="36"/>
      <c r="F22" s="38"/>
    </row>
    <row r="23" spans="1:6" s="3" customFormat="1" x14ac:dyDescent="0.3">
      <c r="A23" s="20"/>
      <c r="B23" s="10"/>
    </row>
    <row r="24" spans="1:6" s="3" customFormat="1" x14ac:dyDescent="0.3">
      <c r="A24" s="18" t="s">
        <v>28</v>
      </c>
      <c r="B24" s="50">
        <v>1.2903E-2</v>
      </c>
      <c r="C24" s="10">
        <v>0</v>
      </c>
      <c r="D24" s="10">
        <f>B24</f>
        <v>1.2903E-2</v>
      </c>
      <c r="E24" s="10"/>
      <c r="F24" s="16"/>
    </row>
    <row r="25" spans="1:6" s="3" customFormat="1" x14ac:dyDescent="0.3">
      <c r="A25" s="7" t="s">
        <v>29</v>
      </c>
      <c r="B25" s="52">
        <v>1.0000000000000001E-5</v>
      </c>
      <c r="C25" s="8">
        <v>0</v>
      </c>
      <c r="D25" s="8">
        <f>B25</f>
        <v>1.0000000000000001E-5</v>
      </c>
      <c r="E25" s="8"/>
      <c r="F25" s="14"/>
    </row>
    <row r="26" spans="1:6" s="3" customFormat="1" x14ac:dyDescent="0.3">
      <c r="A26" s="20"/>
    </row>
    <row r="27" spans="1:6" s="3" customFormat="1" ht="31.2" x14ac:dyDescent="0.3">
      <c r="A27" s="28" t="s">
        <v>45</v>
      </c>
      <c r="B27" s="46">
        <v>4.0000000000000003E-5</v>
      </c>
      <c r="C27" s="46">
        <v>1.9999999999999999E-6</v>
      </c>
      <c r="D27" s="47">
        <v>2.4000000000000001E-5</v>
      </c>
      <c r="E27" s="6"/>
      <c r="F27" s="5"/>
    </row>
    <row r="28" spans="1:6" s="3" customFormat="1" x14ac:dyDescent="0.3">
      <c r="A28" s="20"/>
    </row>
    <row r="29" spans="1:6" s="3" customFormat="1" ht="46.8" x14ac:dyDescent="0.3">
      <c r="A29" s="28" t="s">
        <v>46</v>
      </c>
      <c r="B29" s="6">
        <v>0.02</v>
      </c>
      <c r="C29" s="6">
        <v>0</v>
      </c>
      <c r="D29" s="6">
        <v>0.02</v>
      </c>
      <c r="E29" s="6"/>
      <c r="F29" s="5"/>
    </row>
    <row r="30" spans="1:6" s="3" customFormat="1" x14ac:dyDescent="0.3"/>
    <row r="31" spans="1:6" s="3" customFormat="1" ht="31.2" x14ac:dyDescent="0.3">
      <c r="A31" s="18" t="s">
        <v>128</v>
      </c>
      <c r="B31" s="10">
        <v>4.1999999999999997E-3</v>
      </c>
      <c r="C31" s="10">
        <v>0</v>
      </c>
      <c r="D31" s="10">
        <v>4.1999999999999997E-3</v>
      </c>
      <c r="E31" s="10"/>
      <c r="F31" s="16"/>
    </row>
    <row r="32" spans="1:6" s="3" customFormat="1" ht="31.2" x14ac:dyDescent="0.3">
      <c r="A32" s="7" t="s">
        <v>129</v>
      </c>
      <c r="B32" s="8">
        <v>1.4999999999999999E-4</v>
      </c>
      <c r="C32" s="8">
        <v>0</v>
      </c>
      <c r="D32" s="8">
        <v>1.4999999999999999E-4</v>
      </c>
      <c r="E32" s="8"/>
      <c r="F32" s="14"/>
    </row>
    <row r="33" spans="1:1" s="3" customFormat="1" x14ac:dyDescent="0.3"/>
    <row r="34" spans="1:1" s="3" customFormat="1" x14ac:dyDescent="0.3"/>
    <row r="35" spans="1:1" s="3" customFormat="1" x14ac:dyDescent="0.3"/>
    <row r="36" spans="1:1" s="3" customFormat="1" x14ac:dyDescent="0.3"/>
    <row r="37" spans="1:1" s="3" customFormat="1" x14ac:dyDescent="0.3"/>
    <row r="38" spans="1:1" s="2" customFormat="1" x14ac:dyDescent="0.3"/>
    <row r="39" spans="1:1" s="2" customFormat="1" x14ac:dyDescent="0.3"/>
    <row r="40" spans="1:1" s="2" customFormat="1" x14ac:dyDescent="0.3"/>
    <row r="41" spans="1:1" x14ac:dyDescent="0.3">
      <c r="A41" s="2"/>
    </row>
    <row r="42" spans="1:1" x14ac:dyDescent="0.3">
      <c r="A42" s="2"/>
    </row>
    <row r="43" spans="1:1" x14ac:dyDescent="0.3">
      <c r="A43" s="2"/>
    </row>
  </sheetData>
  <mergeCells count="4">
    <mergeCell ref="A1:A2"/>
    <mergeCell ref="F1:F2"/>
    <mergeCell ref="B22:D22"/>
    <mergeCell ref="B1:E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pane xSplit="1" ySplit="2" topLeftCell="B3" activePane="bottomRight" state="frozen"/>
      <selection pane="topRight" activeCell="B1" sqref="B1"/>
      <selection pane="bottomLeft" activeCell="A3" sqref="A3"/>
      <selection pane="bottomRight" activeCell="C24" sqref="C24"/>
    </sheetView>
  </sheetViews>
  <sheetFormatPr defaultRowHeight="15.6" x14ac:dyDescent="0.3"/>
  <cols>
    <col min="1" max="1" width="29.59765625" customWidth="1"/>
    <col min="2" max="2" width="9.8984375" bestFit="1" customWidth="1"/>
    <col min="4" max="4" width="11.3984375" bestFit="1" customWidth="1"/>
    <col min="6" max="6" width="11.59765625" customWidth="1"/>
  </cols>
  <sheetData>
    <row r="1" spans="1:9" x14ac:dyDescent="0.3">
      <c r="A1" s="341" t="s">
        <v>24</v>
      </c>
      <c r="B1" s="347" t="s">
        <v>47</v>
      </c>
      <c r="C1" s="347"/>
      <c r="D1" s="347"/>
      <c r="E1" s="348"/>
      <c r="F1" s="343" t="s">
        <v>0</v>
      </c>
    </row>
    <row r="2" spans="1:9" ht="46.8" x14ac:dyDescent="0.3">
      <c r="A2" s="342"/>
      <c r="B2" s="12" t="s">
        <v>3</v>
      </c>
      <c r="C2" s="12" t="s">
        <v>4</v>
      </c>
      <c r="D2" s="12" t="s">
        <v>6</v>
      </c>
      <c r="E2" s="12" t="s">
        <v>26</v>
      </c>
      <c r="F2" s="344"/>
    </row>
    <row r="3" spans="1:9" x14ac:dyDescent="0.3">
      <c r="A3" s="22" t="s">
        <v>7</v>
      </c>
      <c r="B3">
        <v>0.36399999999999999</v>
      </c>
      <c r="C3">
        <v>0.503</v>
      </c>
      <c r="D3" s="39">
        <f>B3+C3</f>
        <v>0.86699999999999999</v>
      </c>
      <c r="E3">
        <v>9.7000000000000003E-2</v>
      </c>
      <c r="F3" s="16"/>
      <c r="G3" s="3"/>
    </row>
    <row r="4" spans="1:9" x14ac:dyDescent="0.3">
      <c r="A4" s="19" t="s">
        <v>8</v>
      </c>
      <c r="B4">
        <v>0.16700000000000001</v>
      </c>
      <c r="C4">
        <v>0.317</v>
      </c>
      <c r="D4" s="39">
        <f t="shared" ref="D4:D19" si="0">B4+C4</f>
        <v>0.48399999999999999</v>
      </c>
      <c r="E4">
        <v>0.09</v>
      </c>
      <c r="F4" s="13"/>
      <c r="G4" s="3"/>
    </row>
    <row r="5" spans="1:9" x14ac:dyDescent="0.3">
      <c r="A5" s="19" t="s">
        <v>9</v>
      </c>
      <c r="B5">
        <v>0.436</v>
      </c>
      <c r="C5">
        <v>1.163</v>
      </c>
      <c r="D5" s="39">
        <f t="shared" si="0"/>
        <v>1.599</v>
      </c>
      <c r="E5">
        <v>0.45100000000000001</v>
      </c>
      <c r="F5" s="13"/>
      <c r="G5" s="12"/>
      <c r="I5" s="12"/>
    </row>
    <row r="6" spans="1:9" x14ac:dyDescent="0.3">
      <c r="A6" s="19" t="s">
        <v>10</v>
      </c>
      <c r="B6">
        <v>5.6000000000000001E-2</v>
      </c>
      <c r="C6">
        <v>0.55500000000000005</v>
      </c>
      <c r="D6" s="39">
        <f t="shared" si="0"/>
        <v>0.6110000000000001</v>
      </c>
      <c r="E6">
        <v>0.24</v>
      </c>
      <c r="F6" s="13"/>
      <c r="G6" s="3"/>
    </row>
    <row r="7" spans="1:9" x14ac:dyDescent="0.3">
      <c r="A7" s="19" t="s">
        <v>11</v>
      </c>
      <c r="B7">
        <v>0.32400000000000001</v>
      </c>
      <c r="C7">
        <v>1.087</v>
      </c>
      <c r="D7" s="39">
        <f t="shared" si="0"/>
        <v>1.411</v>
      </c>
      <c r="E7">
        <v>0.376</v>
      </c>
      <c r="F7" s="13"/>
      <c r="G7" s="3"/>
    </row>
    <row r="8" spans="1:9" x14ac:dyDescent="0.3">
      <c r="A8" s="19" t="s">
        <v>12</v>
      </c>
      <c r="B8">
        <v>0.55900000000000005</v>
      </c>
      <c r="C8">
        <v>1.984</v>
      </c>
      <c r="D8" s="39">
        <f t="shared" si="0"/>
        <v>2.5430000000000001</v>
      </c>
      <c r="E8">
        <v>0.755</v>
      </c>
      <c r="F8" s="13"/>
      <c r="G8" s="3"/>
    </row>
    <row r="9" spans="1:9" x14ac:dyDescent="0.3">
      <c r="A9" s="19" t="s">
        <v>13</v>
      </c>
      <c r="B9">
        <v>0.48</v>
      </c>
      <c r="C9">
        <v>1.208</v>
      </c>
      <c r="D9" s="39">
        <f t="shared" si="0"/>
        <v>1.6879999999999999</v>
      </c>
      <c r="E9">
        <v>0.435</v>
      </c>
      <c r="F9" s="13"/>
      <c r="G9" s="3"/>
    </row>
    <row r="10" spans="1:9" x14ac:dyDescent="0.3">
      <c r="A10" s="19" t="s">
        <v>14</v>
      </c>
      <c r="B10">
        <v>0.307</v>
      </c>
      <c r="C10">
        <v>0.53600000000000003</v>
      </c>
      <c r="D10" s="39">
        <f t="shared" si="0"/>
        <v>0.84299999999999997</v>
      </c>
      <c r="E10">
        <v>0.17199999999999999</v>
      </c>
      <c r="F10" s="13"/>
      <c r="G10" s="3"/>
    </row>
    <row r="11" spans="1:9" x14ac:dyDescent="0.3">
      <c r="A11" s="29" t="s">
        <v>20</v>
      </c>
      <c r="B11">
        <v>0.27600000000000002</v>
      </c>
      <c r="C11">
        <v>0.35699999999999998</v>
      </c>
      <c r="D11" s="39">
        <f t="shared" si="0"/>
        <v>0.63300000000000001</v>
      </c>
      <c r="E11">
        <v>0.11799999999999999</v>
      </c>
      <c r="F11" s="13"/>
      <c r="G11" s="3"/>
    </row>
    <row r="12" spans="1:9" x14ac:dyDescent="0.3">
      <c r="A12" s="29" t="s">
        <v>21</v>
      </c>
      <c r="B12">
        <v>0.20799999999999999</v>
      </c>
      <c r="C12">
        <v>8.4000000000000005E-2</v>
      </c>
      <c r="D12" s="39">
        <f t="shared" si="0"/>
        <v>0.29199999999999998</v>
      </c>
      <c r="E12">
        <v>3.9E-2</v>
      </c>
      <c r="F12" s="13"/>
      <c r="G12" s="3"/>
    </row>
    <row r="13" spans="1:9" x14ac:dyDescent="0.3">
      <c r="A13" s="4" t="s">
        <v>25</v>
      </c>
      <c r="B13">
        <v>0.251</v>
      </c>
      <c r="C13">
        <v>0.86599999999999999</v>
      </c>
      <c r="D13" s="39">
        <f t="shared" si="0"/>
        <v>1.117</v>
      </c>
      <c r="E13">
        <v>0.29499999999999998</v>
      </c>
      <c r="F13" s="13"/>
      <c r="G13" s="3"/>
    </row>
    <row r="14" spans="1:9" x14ac:dyDescent="0.3">
      <c r="A14" s="4" t="s">
        <v>44</v>
      </c>
      <c r="B14">
        <v>0.73</v>
      </c>
      <c r="C14">
        <v>1.2430000000000001</v>
      </c>
      <c r="D14" s="39">
        <f t="shared" si="0"/>
        <v>1.9730000000000001</v>
      </c>
      <c r="E14">
        <v>0.36199999999999999</v>
      </c>
      <c r="F14" s="13"/>
      <c r="G14" s="3"/>
    </row>
    <row r="15" spans="1:9" x14ac:dyDescent="0.3">
      <c r="A15" s="4" t="s">
        <v>41</v>
      </c>
      <c r="B15">
        <v>1.32</v>
      </c>
      <c r="C15">
        <v>1.1000000000000001</v>
      </c>
      <c r="D15" s="39">
        <f t="shared" si="0"/>
        <v>2.42</v>
      </c>
      <c r="E15">
        <v>0.253</v>
      </c>
      <c r="F15" s="13"/>
      <c r="G15" s="3"/>
    </row>
    <row r="16" spans="1:9" s="3" customFormat="1" x14ac:dyDescent="0.3">
      <c r="A16" s="4" t="s">
        <v>143</v>
      </c>
      <c r="B16" s="55">
        <v>0.16400000000000001</v>
      </c>
      <c r="C16" s="55">
        <v>0.18099999999999999</v>
      </c>
      <c r="D16" s="4">
        <v>0.317</v>
      </c>
      <c r="E16" s="55">
        <v>0</v>
      </c>
      <c r="F16" s="13"/>
    </row>
    <row r="17" spans="1:10" x14ac:dyDescent="0.3">
      <c r="A17" s="4" t="s">
        <v>30</v>
      </c>
      <c r="B17">
        <v>4.9000000000000002E-2</v>
      </c>
      <c r="C17">
        <v>1.2E-2</v>
      </c>
      <c r="D17" s="39">
        <f t="shared" si="0"/>
        <v>6.0999999999999999E-2</v>
      </c>
      <c r="E17" s="4">
        <v>0</v>
      </c>
      <c r="F17" s="13"/>
      <c r="G17" s="3"/>
    </row>
    <row r="18" spans="1:10" x14ac:dyDescent="0.3">
      <c r="A18" s="4" t="s">
        <v>42</v>
      </c>
      <c r="B18">
        <v>2.9000000000000001E-2</v>
      </c>
      <c r="C18">
        <v>1.2E-2</v>
      </c>
      <c r="D18" s="39">
        <f t="shared" si="0"/>
        <v>4.1000000000000002E-2</v>
      </c>
      <c r="E18" s="4">
        <v>0</v>
      </c>
      <c r="F18" s="30"/>
    </row>
    <row r="19" spans="1:10" x14ac:dyDescent="0.3">
      <c r="A19" s="4" t="s">
        <v>31</v>
      </c>
      <c r="B19">
        <v>0.17799999999999999</v>
      </c>
      <c r="C19">
        <v>8.2000000000000003E-2</v>
      </c>
      <c r="D19" s="39">
        <f t="shared" si="0"/>
        <v>0.26</v>
      </c>
      <c r="E19" s="4">
        <v>0</v>
      </c>
      <c r="F19" s="30"/>
    </row>
    <row r="20" spans="1:10" x14ac:dyDescent="0.3">
      <c r="A20" s="4"/>
      <c r="B20" s="4"/>
      <c r="C20" s="4"/>
      <c r="D20" s="4"/>
      <c r="E20" s="4"/>
      <c r="F20" s="13"/>
      <c r="G20" s="3"/>
    </row>
    <row r="21" spans="1:10" x14ac:dyDescent="0.3">
      <c r="A21" s="20"/>
      <c r="B21" s="3"/>
      <c r="C21" s="3"/>
      <c r="D21" s="3"/>
      <c r="E21" s="3"/>
      <c r="F21" s="14"/>
      <c r="G21" s="3"/>
      <c r="H21" s="3"/>
      <c r="I21" s="3"/>
      <c r="J21" s="3"/>
    </row>
    <row r="22" spans="1:10" ht="18" customHeight="1" x14ac:dyDescent="0.3">
      <c r="A22" s="21" t="s">
        <v>5</v>
      </c>
      <c r="B22" s="345">
        <v>15000</v>
      </c>
      <c r="C22" s="345"/>
      <c r="D22" s="346"/>
      <c r="E22" s="36"/>
      <c r="F22" s="15"/>
      <c r="G22" s="17"/>
      <c r="H22" s="17"/>
      <c r="I22" s="17"/>
      <c r="J22" s="3"/>
    </row>
    <row r="23" spans="1:10" x14ac:dyDescent="0.3">
      <c r="A23" s="20"/>
      <c r="B23" s="3"/>
      <c r="C23" s="3"/>
      <c r="D23" s="3"/>
      <c r="E23" s="3"/>
      <c r="F23" s="3"/>
      <c r="G23" s="3"/>
      <c r="H23" s="3"/>
      <c r="I23" s="3"/>
      <c r="J23" s="3"/>
    </row>
    <row r="24" spans="1:10" x14ac:dyDescent="0.3">
      <c r="A24" s="18" t="s">
        <v>28</v>
      </c>
      <c r="B24" s="42">
        <v>1.41843E-2</v>
      </c>
      <c r="C24" s="10">
        <v>0</v>
      </c>
      <c r="D24" s="11">
        <f>B24</f>
        <v>1.41843E-2</v>
      </c>
      <c r="E24" s="11"/>
      <c r="F24" s="11"/>
      <c r="G24" s="3"/>
    </row>
    <row r="25" spans="1:10" x14ac:dyDescent="0.3">
      <c r="A25" s="7" t="s">
        <v>29</v>
      </c>
      <c r="B25" s="41">
        <v>2.5899999999999999E-5</v>
      </c>
      <c r="C25" s="8">
        <v>0</v>
      </c>
      <c r="D25" s="9">
        <f>B25</f>
        <v>2.5899999999999999E-5</v>
      </c>
      <c r="E25" s="9"/>
      <c r="F25" s="9"/>
      <c r="G25" s="3"/>
    </row>
    <row r="26" spans="1:10" x14ac:dyDescent="0.3">
      <c r="A26" s="20"/>
      <c r="B26" s="3"/>
      <c r="C26" s="3"/>
      <c r="D26" s="3"/>
      <c r="E26" s="3"/>
      <c r="F26" s="3"/>
      <c r="G26" s="3"/>
      <c r="H26" s="3"/>
      <c r="I26" s="3"/>
      <c r="J26" s="3"/>
    </row>
    <row r="27" spans="1:10" ht="31.2" x14ac:dyDescent="0.3">
      <c r="A27" s="28" t="s">
        <v>45</v>
      </c>
      <c r="B27" s="43">
        <v>7.8999999999999996E-5</v>
      </c>
      <c r="C27" s="43">
        <v>0</v>
      </c>
      <c r="D27" s="6">
        <f>B27</f>
        <v>7.8999999999999996E-5</v>
      </c>
      <c r="E27" s="6"/>
      <c r="F27" s="5"/>
      <c r="G27" s="3"/>
    </row>
    <row r="28" spans="1:10" x14ac:dyDescent="0.3">
      <c r="A28" s="20"/>
      <c r="B28" s="3"/>
      <c r="C28" s="3"/>
      <c r="D28" s="3"/>
      <c r="E28" s="3"/>
      <c r="F28" s="3"/>
      <c r="G28" s="3"/>
      <c r="H28" s="3"/>
      <c r="I28" s="3"/>
      <c r="J28" s="3"/>
    </row>
    <row r="29" spans="1:10" ht="46.8" x14ac:dyDescent="0.3">
      <c r="A29" s="28" t="s">
        <v>46</v>
      </c>
      <c r="B29" s="6">
        <v>0.02</v>
      </c>
      <c r="C29" s="6">
        <v>0</v>
      </c>
      <c r="D29" s="6">
        <v>0.02</v>
      </c>
      <c r="E29" s="6"/>
      <c r="F29" s="5"/>
      <c r="G29" s="3"/>
    </row>
    <row r="31" spans="1:10" ht="31.2" x14ac:dyDescent="0.3">
      <c r="A31" s="18" t="s">
        <v>128</v>
      </c>
      <c r="B31" s="10">
        <v>1.61E-2</v>
      </c>
      <c r="C31" s="10">
        <v>0</v>
      </c>
      <c r="D31" s="10">
        <v>1.61E-2</v>
      </c>
      <c r="E31" s="10"/>
      <c r="F31" s="16"/>
    </row>
    <row r="32" spans="1:10" ht="31.2" x14ac:dyDescent="0.3">
      <c r="A32" s="7" t="s">
        <v>129</v>
      </c>
      <c r="B32" s="8">
        <v>3.1100000000000002E-4</v>
      </c>
      <c r="C32" s="8">
        <v>0</v>
      </c>
      <c r="D32" s="8">
        <v>3.1100000000000002E-4</v>
      </c>
      <c r="E32" s="8"/>
      <c r="F32" s="14"/>
    </row>
  </sheetData>
  <sheetProtection sheet="1" objects="1" scenarios="1"/>
  <mergeCells count="4">
    <mergeCell ref="A1:A2"/>
    <mergeCell ref="F1:F2"/>
    <mergeCell ref="B22:D22"/>
    <mergeCell ref="B1:E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5.6" x14ac:dyDescent="0.3"/>
  <cols>
    <col min="1" max="1" width="29.59765625" customWidth="1"/>
    <col min="4" max="4" width="9.19921875" customWidth="1"/>
    <col min="5" max="5" width="11.3984375" customWidth="1"/>
    <col min="6" max="6" width="11.59765625" customWidth="1"/>
  </cols>
  <sheetData>
    <row r="1" spans="1:7" x14ac:dyDescent="0.3">
      <c r="A1" s="341" t="s">
        <v>24</v>
      </c>
      <c r="B1" s="347" t="s">
        <v>47</v>
      </c>
      <c r="C1" s="347"/>
      <c r="D1" s="347"/>
      <c r="E1" s="348"/>
      <c r="F1" s="343" t="s">
        <v>0</v>
      </c>
    </row>
    <row r="2" spans="1:7" ht="46.8" x14ac:dyDescent="0.3">
      <c r="A2" s="342"/>
      <c r="B2" s="12" t="s">
        <v>3</v>
      </c>
      <c r="C2" s="12" t="s">
        <v>4</v>
      </c>
      <c r="D2" s="12" t="s">
        <v>6</v>
      </c>
      <c r="E2" s="12" t="s">
        <v>26</v>
      </c>
      <c r="F2" s="344"/>
    </row>
    <row r="3" spans="1:7" x14ac:dyDescent="0.3">
      <c r="A3" s="22" t="s">
        <v>7</v>
      </c>
      <c r="B3" s="69">
        <v>0.21199999999999999</v>
      </c>
      <c r="C3" s="69">
        <v>0.41099999999999998</v>
      </c>
      <c r="D3" s="4">
        <f>B3+C3</f>
        <v>0.623</v>
      </c>
      <c r="E3">
        <v>7.1999999999999995E-2</v>
      </c>
      <c r="F3" s="16"/>
      <c r="G3" s="3"/>
    </row>
    <row r="4" spans="1:7" x14ac:dyDescent="0.3">
      <c r="A4" s="19" t="s">
        <v>8</v>
      </c>
      <c r="B4" s="69">
        <v>0.13400000000000001</v>
      </c>
      <c r="C4" s="69">
        <v>0.26200000000000001</v>
      </c>
      <c r="D4" s="4">
        <f t="shared" ref="D4:D19" si="0">B4+C4</f>
        <v>0.39600000000000002</v>
      </c>
      <c r="E4">
        <v>6.4000000000000001E-2</v>
      </c>
      <c r="F4" s="13"/>
      <c r="G4" s="3"/>
    </row>
    <row r="5" spans="1:7" x14ac:dyDescent="0.3">
      <c r="A5" s="19" t="s">
        <v>9</v>
      </c>
      <c r="B5" s="69">
        <v>0.32100000000000001</v>
      </c>
      <c r="C5" s="69">
        <v>0.96699999999999997</v>
      </c>
      <c r="D5" s="4">
        <f t="shared" si="0"/>
        <v>1.288</v>
      </c>
      <c r="E5">
        <v>0.3</v>
      </c>
      <c r="F5" s="13"/>
      <c r="G5" s="12"/>
    </row>
    <row r="6" spans="1:7" x14ac:dyDescent="0.3">
      <c r="A6" s="19" t="s">
        <v>10</v>
      </c>
      <c r="B6" s="69">
        <v>4.4999999999999998E-2</v>
      </c>
      <c r="C6" s="69">
        <v>0.44700000000000001</v>
      </c>
      <c r="D6" s="4">
        <f t="shared" si="0"/>
        <v>0.49199999999999999</v>
      </c>
      <c r="E6">
        <v>0.17899999999999999</v>
      </c>
      <c r="F6" s="13"/>
      <c r="G6" s="3"/>
    </row>
    <row r="7" spans="1:7" x14ac:dyDescent="0.3">
      <c r="A7" s="19" t="s">
        <v>11</v>
      </c>
      <c r="B7" s="69">
        <v>0.255</v>
      </c>
      <c r="C7" s="69">
        <v>0.92300000000000004</v>
      </c>
      <c r="D7" s="4">
        <f t="shared" si="0"/>
        <v>1.1779999999999999</v>
      </c>
      <c r="E7">
        <v>0.28699999999999998</v>
      </c>
      <c r="F7" s="13"/>
      <c r="G7" s="3"/>
    </row>
    <row r="8" spans="1:7" x14ac:dyDescent="0.3">
      <c r="A8" s="19" t="s">
        <v>12</v>
      </c>
      <c r="B8" s="69">
        <v>0.41299999999999998</v>
      </c>
      <c r="C8" s="69">
        <v>1.6890000000000001</v>
      </c>
      <c r="D8" s="4">
        <f t="shared" si="0"/>
        <v>2.1019999999999999</v>
      </c>
      <c r="E8">
        <v>0.54800000000000004</v>
      </c>
      <c r="F8" s="13"/>
      <c r="G8" s="3"/>
    </row>
    <row r="9" spans="1:7" x14ac:dyDescent="0.3">
      <c r="A9" s="19" t="s">
        <v>13</v>
      </c>
      <c r="B9" s="69">
        <v>0.311</v>
      </c>
      <c r="C9" s="69">
        <v>0.998</v>
      </c>
      <c r="D9" s="4">
        <f t="shared" si="0"/>
        <v>1.3089999999999999</v>
      </c>
      <c r="E9">
        <v>0.32100000000000001</v>
      </c>
      <c r="F9" s="13"/>
      <c r="G9" s="3"/>
    </row>
    <row r="10" spans="1:7" x14ac:dyDescent="0.3">
      <c r="A10" s="19" t="s">
        <v>14</v>
      </c>
      <c r="B10" s="69">
        <v>0.184</v>
      </c>
      <c r="C10" s="69">
        <v>0.44700000000000001</v>
      </c>
      <c r="D10" s="4">
        <f t="shared" si="0"/>
        <v>0.63100000000000001</v>
      </c>
      <c r="E10">
        <v>0.129</v>
      </c>
      <c r="F10" s="13"/>
      <c r="G10" s="3"/>
    </row>
    <row r="11" spans="1:7" x14ac:dyDescent="0.3">
      <c r="A11" s="29" t="s">
        <v>20</v>
      </c>
      <c r="B11" s="69">
        <v>0.20799999999999999</v>
      </c>
      <c r="C11" s="69">
        <v>0.26900000000000002</v>
      </c>
      <c r="D11" s="4">
        <f t="shared" si="0"/>
        <v>0.47699999999999998</v>
      </c>
      <c r="E11">
        <v>8.1000000000000003E-2</v>
      </c>
      <c r="F11" s="13"/>
      <c r="G11" s="3"/>
    </row>
    <row r="12" spans="1:7" x14ac:dyDescent="0.3">
      <c r="A12" s="29" t="s">
        <v>21</v>
      </c>
      <c r="B12" s="69">
        <v>0.16900000000000001</v>
      </c>
      <c r="C12" s="69">
        <v>8.8999999999999996E-2</v>
      </c>
      <c r="D12" s="4">
        <f t="shared" si="0"/>
        <v>0.25800000000000001</v>
      </c>
      <c r="E12">
        <v>2.9000000000000001E-2</v>
      </c>
      <c r="F12" s="13"/>
      <c r="G12" s="3"/>
    </row>
    <row r="13" spans="1:7" x14ac:dyDescent="0.3">
      <c r="A13" s="4" t="s">
        <v>25</v>
      </c>
      <c r="B13" s="69">
        <v>0.188</v>
      </c>
      <c r="C13" s="69">
        <v>0.71199999999999997</v>
      </c>
      <c r="D13" s="4">
        <f t="shared" si="0"/>
        <v>0.89999999999999991</v>
      </c>
      <c r="E13">
        <v>0.216</v>
      </c>
      <c r="F13" s="13"/>
      <c r="G13" s="3"/>
    </row>
    <row r="14" spans="1:7" x14ac:dyDescent="0.3">
      <c r="A14" s="4" t="s">
        <v>44</v>
      </c>
      <c r="B14" s="70">
        <v>0.46100000000000002</v>
      </c>
      <c r="C14" s="70">
        <v>0.96099999999999997</v>
      </c>
      <c r="D14" s="4">
        <f t="shared" si="0"/>
        <v>1.4219999999999999</v>
      </c>
      <c r="E14">
        <v>0.27700000000000002</v>
      </c>
      <c r="F14" s="13"/>
      <c r="G14" s="3"/>
    </row>
    <row r="15" spans="1:7" x14ac:dyDescent="0.3">
      <c r="A15" s="4" t="s">
        <v>41</v>
      </c>
      <c r="B15" s="70">
        <v>1.02</v>
      </c>
      <c r="C15" s="70">
        <v>0.92</v>
      </c>
      <c r="D15" s="4">
        <f t="shared" si="0"/>
        <v>1.94</v>
      </c>
      <c r="E15">
        <v>0.18099999999999999</v>
      </c>
      <c r="F15" s="13"/>
      <c r="G15" s="3"/>
    </row>
    <row r="16" spans="1:7" x14ac:dyDescent="0.3">
      <c r="A16" s="4" t="s">
        <v>143</v>
      </c>
      <c r="B16" s="72">
        <v>0.11899999999999999</v>
      </c>
      <c r="C16" s="72">
        <v>0.16</v>
      </c>
      <c r="D16" s="4">
        <v>0.245</v>
      </c>
      <c r="E16">
        <v>0</v>
      </c>
      <c r="F16" s="13"/>
      <c r="G16" s="3"/>
    </row>
    <row r="17" spans="1:10" x14ac:dyDescent="0.3">
      <c r="A17" s="4" t="s">
        <v>30</v>
      </c>
      <c r="B17" s="71">
        <v>1.9E-2</v>
      </c>
      <c r="C17" s="72">
        <v>0</v>
      </c>
      <c r="D17" s="4">
        <f t="shared" si="0"/>
        <v>1.9E-2</v>
      </c>
      <c r="E17" s="4">
        <v>0</v>
      </c>
      <c r="F17" s="13"/>
      <c r="G17" s="3"/>
    </row>
    <row r="18" spans="1:10" x14ac:dyDescent="0.3">
      <c r="A18" s="4" t="s">
        <v>42</v>
      </c>
      <c r="B18" s="71">
        <v>1.4E-2</v>
      </c>
      <c r="C18" s="72">
        <v>0</v>
      </c>
      <c r="D18" s="4">
        <f t="shared" si="0"/>
        <v>1.4E-2</v>
      </c>
      <c r="E18" s="4">
        <v>0</v>
      </c>
      <c r="F18" s="13"/>
      <c r="G18" s="3"/>
    </row>
    <row r="19" spans="1:10" x14ac:dyDescent="0.3">
      <c r="A19" s="4" t="s">
        <v>31</v>
      </c>
      <c r="B19" s="71">
        <v>0.106</v>
      </c>
      <c r="C19" s="72">
        <v>4.5999999999999999E-2</v>
      </c>
      <c r="D19" s="4">
        <f t="shared" si="0"/>
        <v>0.152</v>
      </c>
      <c r="E19" s="4">
        <v>0</v>
      </c>
      <c r="F19" s="13"/>
      <c r="G19" s="3"/>
    </row>
    <row r="20" spans="1:10" x14ac:dyDescent="0.3">
      <c r="A20" s="4"/>
      <c r="E20" s="37"/>
      <c r="F20" s="30"/>
    </row>
    <row r="21" spans="1:10" x14ac:dyDescent="0.3">
      <c r="A21" s="20"/>
      <c r="B21" s="4"/>
      <c r="C21" s="3"/>
      <c r="D21" s="3"/>
      <c r="E21" s="8"/>
      <c r="F21" s="14"/>
      <c r="G21" s="3"/>
      <c r="H21" s="3"/>
      <c r="I21" s="3"/>
      <c r="J21" s="3"/>
    </row>
    <row r="22" spans="1:10" ht="18" customHeight="1" x14ac:dyDescent="0.3">
      <c r="A22" s="21" t="s">
        <v>5</v>
      </c>
      <c r="B22" s="349">
        <v>15000</v>
      </c>
      <c r="C22" s="345"/>
      <c r="D22" s="346"/>
      <c r="E22" s="44"/>
      <c r="F22" s="15"/>
      <c r="G22" s="17"/>
      <c r="H22" s="17"/>
      <c r="I22" s="17"/>
      <c r="J22" s="3"/>
    </row>
    <row r="23" spans="1:10" x14ac:dyDescent="0.3">
      <c r="A23" s="20"/>
      <c r="B23" s="3"/>
      <c r="C23" s="3"/>
      <c r="D23" s="3"/>
      <c r="E23" s="3"/>
      <c r="F23" s="3"/>
      <c r="G23" s="3"/>
      <c r="H23" s="3"/>
      <c r="I23" s="3"/>
      <c r="J23" s="3"/>
    </row>
    <row r="24" spans="1:10" x14ac:dyDescent="0.3">
      <c r="A24" s="18" t="s">
        <v>28</v>
      </c>
      <c r="B24" s="66">
        <v>1.2500000000000001E-2</v>
      </c>
      <c r="C24" s="10">
        <v>0</v>
      </c>
      <c r="D24" s="11">
        <f>B24</f>
        <v>1.2500000000000001E-2</v>
      </c>
      <c r="E24" s="11"/>
      <c r="F24" s="11"/>
      <c r="G24" s="3"/>
    </row>
    <row r="25" spans="1:10" x14ac:dyDescent="0.3">
      <c r="A25" s="7" t="s">
        <v>29</v>
      </c>
      <c r="B25" s="68">
        <v>1.9000000000000001E-5</v>
      </c>
      <c r="C25" s="8">
        <v>0</v>
      </c>
      <c r="D25" s="9">
        <f>B25</f>
        <v>1.9000000000000001E-5</v>
      </c>
      <c r="E25" s="9"/>
      <c r="F25" s="9"/>
      <c r="G25" s="3"/>
    </row>
    <row r="26" spans="1:10" x14ac:dyDescent="0.3">
      <c r="A26" s="20"/>
      <c r="B26" s="3"/>
      <c r="C26" s="3"/>
      <c r="D26" s="3"/>
      <c r="E26" s="3"/>
      <c r="F26" s="3"/>
      <c r="G26" s="3"/>
      <c r="H26" s="3"/>
      <c r="I26" s="3"/>
      <c r="J26" s="3"/>
    </row>
    <row r="27" spans="1:10" ht="31.2" x14ac:dyDescent="0.3">
      <c r="A27" s="28" t="s">
        <v>45</v>
      </c>
      <c r="B27" s="67">
        <v>1.26E-4</v>
      </c>
      <c r="C27" s="67">
        <v>3.9999999999999998E-6</v>
      </c>
      <c r="D27" s="65">
        <f>B27</f>
        <v>1.26E-4</v>
      </c>
      <c r="E27" s="6"/>
      <c r="F27" s="5"/>
      <c r="G27" s="3"/>
    </row>
    <row r="28" spans="1:10" x14ac:dyDescent="0.3">
      <c r="A28" s="20"/>
      <c r="B28" s="3"/>
      <c r="C28" s="3"/>
      <c r="D28" s="3"/>
      <c r="E28" s="3"/>
      <c r="F28" s="3"/>
      <c r="G28" s="3"/>
      <c r="H28" s="3"/>
      <c r="I28" s="3"/>
      <c r="J28" s="3"/>
    </row>
    <row r="29" spans="1:10" ht="46.8" x14ac:dyDescent="0.3">
      <c r="A29" s="28" t="s">
        <v>46</v>
      </c>
      <c r="B29" s="6">
        <v>0.02</v>
      </c>
      <c r="C29" s="6">
        <v>0</v>
      </c>
      <c r="D29" s="6">
        <v>0.02</v>
      </c>
      <c r="E29" s="6"/>
      <c r="F29" s="5"/>
      <c r="G29" s="3"/>
    </row>
    <row r="31" spans="1:10" ht="31.2" x14ac:dyDescent="0.3">
      <c r="A31" s="18" t="s">
        <v>128</v>
      </c>
      <c r="B31" s="10">
        <v>4.0600000000000002E-3</v>
      </c>
      <c r="C31" s="10">
        <v>0</v>
      </c>
      <c r="D31" s="10">
        <v>4.0600000000000002E-3</v>
      </c>
      <c r="E31" s="10"/>
      <c r="F31" s="16"/>
    </row>
    <row r="32" spans="1:10" ht="31.2" x14ac:dyDescent="0.3">
      <c r="A32" s="7" t="s">
        <v>129</v>
      </c>
      <c r="B32" s="8">
        <v>2.5999999999999998E-4</v>
      </c>
      <c r="C32" s="8">
        <v>0</v>
      </c>
      <c r="D32" s="8">
        <v>2.5999999999999998E-4</v>
      </c>
      <c r="E32" s="8"/>
      <c r="F32" s="14"/>
    </row>
  </sheetData>
  <sheetProtection sheet="1" objects="1" scenarios="1"/>
  <mergeCells count="4">
    <mergeCell ref="A1:A2"/>
    <mergeCell ref="F1:F2"/>
    <mergeCell ref="B22:D22"/>
    <mergeCell ref="B1:E1"/>
  </mergeCells>
  <pageMargins left="0.7" right="0.7" top="0.75" bottom="0.75" header="0.3" footer="0.3"/>
  <pageSetup paperSize="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9"/>
  <sheetViews>
    <sheetView workbookViewId="0">
      <selection activeCell="D17" sqref="D17"/>
    </sheetView>
  </sheetViews>
  <sheetFormatPr defaultRowHeight="15.6" x14ac:dyDescent="0.3"/>
  <cols>
    <col min="1" max="1" width="26.69921875" customWidth="1"/>
  </cols>
  <sheetData>
    <row r="3" spans="1:7" s="33" customFormat="1" ht="78" x14ac:dyDescent="0.3">
      <c r="A3" s="32" t="s">
        <v>23</v>
      </c>
      <c r="B3" s="34" t="s">
        <v>22</v>
      </c>
      <c r="C3" s="58" t="s">
        <v>53</v>
      </c>
      <c r="D3" s="57" t="s">
        <v>40</v>
      </c>
      <c r="F3" s="58" t="s">
        <v>39</v>
      </c>
      <c r="G3" s="59" t="s">
        <v>38</v>
      </c>
    </row>
    <row r="4" spans="1:7" ht="20.25" customHeight="1" x14ac:dyDescent="0.3">
      <c r="A4" s="22" t="s">
        <v>7</v>
      </c>
      <c r="B4" s="40">
        <v>7500</v>
      </c>
      <c r="C4" s="62">
        <v>15</v>
      </c>
      <c r="D4" s="40">
        <f t="shared" ref="D4:D19" si="0">(C4-1)*E_size + R_size</f>
        <v>3750</v>
      </c>
      <c r="F4" s="56">
        <v>250</v>
      </c>
      <c r="G4" s="1">
        <v>250</v>
      </c>
    </row>
    <row r="5" spans="1:7" ht="16.5" customHeight="1" x14ac:dyDescent="0.3">
      <c r="A5" s="19" t="s">
        <v>8</v>
      </c>
      <c r="B5" s="30">
        <v>7500</v>
      </c>
      <c r="C5" s="45">
        <v>6</v>
      </c>
      <c r="D5" s="30">
        <f t="shared" si="0"/>
        <v>1500</v>
      </c>
    </row>
    <row r="6" spans="1:7" ht="19.5" customHeight="1" x14ac:dyDescent="0.3">
      <c r="A6" s="19" t="s">
        <v>9</v>
      </c>
      <c r="B6" s="30">
        <v>31500</v>
      </c>
      <c r="C6" s="45">
        <v>13</v>
      </c>
      <c r="D6" s="30">
        <f t="shared" si="0"/>
        <v>3250</v>
      </c>
    </row>
    <row r="7" spans="1:7" x14ac:dyDescent="0.3">
      <c r="A7" s="19" t="s">
        <v>10</v>
      </c>
      <c r="B7" s="30">
        <v>17000</v>
      </c>
      <c r="C7" s="45">
        <v>9</v>
      </c>
      <c r="D7" s="30">
        <f t="shared" si="0"/>
        <v>2250</v>
      </c>
    </row>
    <row r="8" spans="1:7" ht="18" customHeight="1" x14ac:dyDescent="0.3">
      <c r="A8" s="19" t="s">
        <v>11</v>
      </c>
      <c r="B8" s="30">
        <v>23500</v>
      </c>
      <c r="C8" s="45">
        <v>9</v>
      </c>
      <c r="D8" s="30">
        <f t="shared" si="0"/>
        <v>2250</v>
      </c>
    </row>
    <row r="9" spans="1:7" ht="19.5" customHeight="1" x14ac:dyDescent="0.3">
      <c r="A9" s="19" t="s">
        <v>12</v>
      </c>
      <c r="B9" s="30">
        <v>53000</v>
      </c>
      <c r="C9" s="45">
        <v>17</v>
      </c>
      <c r="D9" s="30">
        <f t="shared" si="0"/>
        <v>4250</v>
      </c>
    </row>
    <row r="10" spans="1:7" ht="21" customHeight="1" x14ac:dyDescent="0.3">
      <c r="A10" s="19" t="s">
        <v>13</v>
      </c>
      <c r="B10" s="30">
        <v>32500</v>
      </c>
      <c r="C10" s="45">
        <v>17</v>
      </c>
      <c r="D10" s="30">
        <f t="shared" si="0"/>
        <v>4250</v>
      </c>
    </row>
    <row r="11" spans="1:7" ht="20.25" customHeight="1" x14ac:dyDescent="0.3">
      <c r="A11" s="19" t="s">
        <v>14</v>
      </c>
      <c r="B11" s="30">
        <v>16000</v>
      </c>
      <c r="C11" s="45">
        <v>13</v>
      </c>
      <c r="D11" s="30">
        <f t="shared" si="0"/>
        <v>3250</v>
      </c>
    </row>
    <row r="12" spans="1:7" ht="16.5" customHeight="1" x14ac:dyDescent="0.3">
      <c r="A12" s="29" t="s">
        <v>20</v>
      </c>
      <c r="B12" s="30">
        <v>6000</v>
      </c>
      <c r="C12" s="45">
        <v>2</v>
      </c>
      <c r="D12" s="30">
        <f t="shared" si="0"/>
        <v>500</v>
      </c>
    </row>
    <row r="13" spans="1:7" ht="20.25" customHeight="1" x14ac:dyDescent="0.3">
      <c r="A13" s="29" t="s">
        <v>21</v>
      </c>
      <c r="B13" s="30">
        <v>1500</v>
      </c>
      <c r="C13" s="45">
        <v>2</v>
      </c>
      <c r="D13" s="30">
        <f t="shared" si="0"/>
        <v>500</v>
      </c>
    </row>
    <row r="14" spans="1:7" s="37" customFormat="1" x14ac:dyDescent="0.3">
      <c r="A14" s="60" t="s">
        <v>25</v>
      </c>
      <c r="B14" s="30">
        <v>23500</v>
      </c>
      <c r="C14" s="45">
        <v>9</v>
      </c>
      <c r="D14" s="30">
        <f t="shared" si="0"/>
        <v>2250</v>
      </c>
    </row>
    <row r="15" spans="1:7" x14ac:dyDescent="0.3">
      <c r="A15" s="60" t="s">
        <v>35</v>
      </c>
      <c r="B15" s="30">
        <v>15000</v>
      </c>
      <c r="C15" s="45">
        <v>6</v>
      </c>
      <c r="D15" s="30">
        <f t="shared" si="0"/>
        <v>1500</v>
      </c>
    </row>
    <row r="16" spans="1:7" x14ac:dyDescent="0.3">
      <c r="A16" s="60" t="s">
        <v>41</v>
      </c>
      <c r="B16" s="30">
        <v>39000</v>
      </c>
      <c r="C16" s="45">
        <v>13</v>
      </c>
      <c r="D16" s="30">
        <f>(C16-1)*E_size + R_size</f>
        <v>3250</v>
      </c>
    </row>
    <row r="17" spans="1:4" x14ac:dyDescent="0.3">
      <c r="A17" s="60" t="s">
        <v>143</v>
      </c>
      <c r="B17" s="30">
        <v>2500</v>
      </c>
      <c r="C17" s="45">
        <v>5</v>
      </c>
      <c r="D17" s="30">
        <f>(C17-1)*E_size + R_size</f>
        <v>1250</v>
      </c>
    </row>
    <row r="18" spans="1:4" x14ac:dyDescent="0.3">
      <c r="A18" s="60" t="s">
        <v>36</v>
      </c>
      <c r="B18" s="30"/>
      <c r="C18" s="61">
        <v>3</v>
      </c>
      <c r="D18" s="30">
        <f t="shared" si="0"/>
        <v>750</v>
      </c>
    </row>
    <row r="19" spans="1:4" x14ac:dyDescent="0.3">
      <c r="A19" s="64" t="s">
        <v>37</v>
      </c>
      <c r="B19" s="31"/>
      <c r="C19" s="63">
        <v>2</v>
      </c>
      <c r="D19" s="31">
        <f t="shared" si="0"/>
        <v>500</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366</vt:i4>
      </vt:variant>
    </vt:vector>
  </HeadingPairs>
  <TitlesOfParts>
    <vt:vector size="375" baseType="lpstr">
      <vt:lpstr>Cover</vt:lpstr>
      <vt:lpstr>User Guide</vt:lpstr>
      <vt:lpstr>Input&amp;Calculation</vt:lpstr>
      <vt:lpstr>Input&amp;Calculation (Redirect)</vt:lpstr>
      <vt:lpstr>Windows_all</vt:lpstr>
      <vt:lpstr>Windows_trace</vt:lpstr>
      <vt:lpstr>Linux_all</vt:lpstr>
      <vt:lpstr>Linux_trace</vt:lpstr>
      <vt:lpstr>Network</vt:lpstr>
      <vt:lpstr>Linux_all!CM_1confr</vt:lpstr>
      <vt:lpstr>Linux_trace!CM_1confr</vt:lpstr>
      <vt:lpstr>Windows_all!CM_1confr</vt:lpstr>
      <vt:lpstr>Windows_trace!CM_1confr</vt:lpstr>
      <vt:lpstr>Linux_all!CM_1xfer</vt:lpstr>
      <vt:lpstr>Linux_trace!CM_1xfer</vt:lpstr>
      <vt:lpstr>Windows_all!CM_1xfer</vt:lpstr>
      <vt:lpstr>Windows_trace!CM_1xfer</vt:lpstr>
      <vt:lpstr>Linux_all!CM_2confr</vt:lpstr>
      <vt:lpstr>Linux_trace!CM_2confr</vt:lpstr>
      <vt:lpstr>Windows_all!CM_2confr</vt:lpstr>
      <vt:lpstr>Windows_trace!CM_2confr</vt:lpstr>
      <vt:lpstr>Linux_all!CM_2xfer</vt:lpstr>
      <vt:lpstr>Linux_trace!CM_2xfer</vt:lpstr>
      <vt:lpstr>Windows_all!CM_2xfer</vt:lpstr>
      <vt:lpstr>Windows_trace!CM_2xfer</vt:lpstr>
      <vt:lpstr>Linux_all!CM_aclients</vt:lpstr>
      <vt:lpstr>Linux_trace!CM_aclients</vt:lpstr>
      <vt:lpstr>Windows_all!CM_aclients</vt:lpstr>
      <vt:lpstr>Windows_trace!CM_aclients</vt:lpstr>
      <vt:lpstr>Linux_all!CM_attach</vt:lpstr>
      <vt:lpstr>Linux_trace!CM_attach</vt:lpstr>
      <vt:lpstr>Windows_all!CM_attach</vt:lpstr>
      <vt:lpstr>Windows_trace!CM_attach</vt:lpstr>
      <vt:lpstr>Linux_all!CM_consult</vt:lpstr>
      <vt:lpstr>Linux_trace!CM_consult</vt:lpstr>
      <vt:lpstr>Windows_all!CM_consult</vt:lpstr>
      <vt:lpstr>Windows_trace!CM_consult</vt:lpstr>
      <vt:lpstr>Linux_all!CM_inbound</vt:lpstr>
      <vt:lpstr>Linux_trace!CM_inbound</vt:lpstr>
      <vt:lpstr>Windows_all!CM_inbound</vt:lpstr>
      <vt:lpstr>Windows_trace!CM_inbound</vt:lpstr>
      <vt:lpstr>Linux_all!CM_intern</vt:lpstr>
      <vt:lpstr>Linux_trace!CM_intern</vt:lpstr>
      <vt:lpstr>Windows_all!CM_intern</vt:lpstr>
      <vt:lpstr>Windows_trace!CM_intern</vt:lpstr>
      <vt:lpstr>Linux_all!CM_iscc_directUUI</vt:lpstr>
      <vt:lpstr>Linux_trace!CM_iscc_directUUI</vt:lpstr>
      <vt:lpstr>Windows_all!CM_iscc_directUUI</vt:lpstr>
      <vt:lpstr>Windows_trace!CM_iscc_directUUI</vt:lpstr>
      <vt:lpstr>Linux_all!CM_iscc_route</vt:lpstr>
      <vt:lpstr>Linux_trace!CM_iscc_route</vt:lpstr>
      <vt:lpstr>Windows_all!CM_iscc_route</vt:lpstr>
      <vt:lpstr>Windows_trace!CM_iscc_route</vt:lpstr>
      <vt:lpstr>Linux_all!CM_iscc_source</vt:lpstr>
      <vt:lpstr>Linux_trace!CM_iscc_source</vt:lpstr>
      <vt:lpstr>Windows_all!CM_iscc_source</vt:lpstr>
      <vt:lpstr>Windows_trace!CM_iscc_source</vt:lpstr>
      <vt:lpstr>Linux_all!CM_mclients</vt:lpstr>
      <vt:lpstr>Linux_trace!CM_mclients</vt:lpstr>
      <vt:lpstr>Windows_all!CM_mclients</vt:lpstr>
      <vt:lpstr>Windows_trace!CM_mclients</vt:lpstr>
      <vt:lpstr>Linux_all!CM_monitor</vt:lpstr>
      <vt:lpstr>Linux_trace!CM_monitor</vt:lpstr>
      <vt:lpstr>Windows_all!CM_monitor</vt:lpstr>
      <vt:lpstr>Windows_trace!CM_monitor</vt:lpstr>
      <vt:lpstr>Linux_all!CM_predictive_merge</vt:lpstr>
      <vt:lpstr>Linux_trace!CM_predictive_merge</vt:lpstr>
      <vt:lpstr>Windows_all!CM_predictive_merge</vt:lpstr>
      <vt:lpstr>Windows_trace!CM_predictive_merge</vt:lpstr>
      <vt:lpstr>Linux_all!CM_predictive_route</vt:lpstr>
      <vt:lpstr>Linux_trace!CM_predictive_route</vt:lpstr>
      <vt:lpstr>Windows_all!CM_predictive_route</vt:lpstr>
      <vt:lpstr>Windows_trace!CM_predictive_route</vt:lpstr>
      <vt:lpstr>Linux_all!CM_Record</vt:lpstr>
      <vt:lpstr>Linux_trace!CM_Record</vt:lpstr>
      <vt:lpstr>Windows_all!CM_record</vt:lpstr>
      <vt:lpstr>Windows_trace!CM_record</vt:lpstr>
      <vt:lpstr>Linux_all!CM_Redirect</vt:lpstr>
      <vt:lpstr>Linux_trace!CM_Redirect</vt:lpstr>
      <vt:lpstr>Windows_all!CM_Redirect</vt:lpstr>
      <vt:lpstr>Windows_trace!CM_Redirect</vt:lpstr>
      <vt:lpstr>Linux_all!CM_treatment</vt:lpstr>
      <vt:lpstr>Linux_trace!CM_treatment</vt:lpstr>
      <vt:lpstr>Windows_all!CM_treatment</vt:lpstr>
      <vt:lpstr>Windows_trace!CM_treatment</vt:lpstr>
      <vt:lpstr>Linux_all!CM_treatment_next</vt:lpstr>
      <vt:lpstr>Linux_trace!CM_treatment_next</vt:lpstr>
      <vt:lpstr>Windows_all!CM_treatment_next</vt:lpstr>
      <vt:lpstr>Windows_trace!CM_treatment_next</vt:lpstr>
      <vt:lpstr>Linux_all!CM_update</vt:lpstr>
      <vt:lpstr>Linux_trace!CM_update</vt:lpstr>
      <vt:lpstr>Windows_all!CM_update</vt:lpstr>
      <vt:lpstr>Windows_trace!CM_update</vt:lpstr>
      <vt:lpstr>Linux_all!CM_vqdata</vt:lpstr>
      <vt:lpstr>Linux_trace!CM_vqdata</vt:lpstr>
      <vt:lpstr>Windows_all!CM_vqdata</vt:lpstr>
      <vt:lpstr>Windows_trace!CM_vqdata</vt:lpstr>
      <vt:lpstr>Linux_all!CM_vqrate</vt:lpstr>
      <vt:lpstr>Linux_trace!CM_vqrate</vt:lpstr>
      <vt:lpstr>Windows_all!CM_vqrate</vt:lpstr>
      <vt:lpstr>Windows_trace!CM_vqrate</vt:lpstr>
      <vt:lpstr>Network!E_size</vt:lpstr>
      <vt:lpstr>Linux_all!MAX_concur</vt:lpstr>
      <vt:lpstr>Linux_trace!MAX_concur</vt:lpstr>
      <vt:lpstr>Windows_all!MAX_concur</vt:lpstr>
      <vt:lpstr>Windows_trace!MAX_concur</vt:lpstr>
      <vt:lpstr>Linux_all!MT_1confr</vt:lpstr>
      <vt:lpstr>Linux_trace!MT_1confr</vt:lpstr>
      <vt:lpstr>Windows_all!MT_1confr</vt:lpstr>
      <vt:lpstr>Windows_trace!MT_1confr</vt:lpstr>
      <vt:lpstr>Linux_all!MT_1xfer</vt:lpstr>
      <vt:lpstr>Linux_trace!MT_1xfer</vt:lpstr>
      <vt:lpstr>Windows_all!MT_1xfer</vt:lpstr>
      <vt:lpstr>Windows_trace!MT_1xfer</vt:lpstr>
      <vt:lpstr>Linux_all!MT_2confr</vt:lpstr>
      <vt:lpstr>Linux_trace!MT_2confr</vt:lpstr>
      <vt:lpstr>Windows_all!MT_2confr</vt:lpstr>
      <vt:lpstr>Windows_trace!MT_2confr</vt:lpstr>
      <vt:lpstr>Linux_all!MT_2xfer</vt:lpstr>
      <vt:lpstr>Linux_trace!MT_2xfer</vt:lpstr>
      <vt:lpstr>Windows_all!MT_2xfer</vt:lpstr>
      <vt:lpstr>Windows_trace!MT_2xfer</vt:lpstr>
      <vt:lpstr>Linux_all!MT_aclients</vt:lpstr>
      <vt:lpstr>Linux_trace!MT_aclients</vt:lpstr>
      <vt:lpstr>Windows_all!MT_aclients</vt:lpstr>
      <vt:lpstr>Windows_trace!MT_aclients</vt:lpstr>
      <vt:lpstr>Linux_all!MT_attach</vt:lpstr>
      <vt:lpstr>Linux_trace!MT_attach</vt:lpstr>
      <vt:lpstr>Windows_all!MT_attach</vt:lpstr>
      <vt:lpstr>Windows_trace!MT_attach</vt:lpstr>
      <vt:lpstr>Linux_all!MT_consult</vt:lpstr>
      <vt:lpstr>Linux_trace!MT_consult</vt:lpstr>
      <vt:lpstr>Windows_all!MT_consult</vt:lpstr>
      <vt:lpstr>Windows_trace!MT_consult</vt:lpstr>
      <vt:lpstr>Linux_all!MT_inbound</vt:lpstr>
      <vt:lpstr>Linux_trace!MT_inbound</vt:lpstr>
      <vt:lpstr>Windows_all!MT_inbound</vt:lpstr>
      <vt:lpstr>Windows_trace!MT_inbound</vt:lpstr>
      <vt:lpstr>Linux_all!MT_intern</vt:lpstr>
      <vt:lpstr>Linux_trace!MT_intern</vt:lpstr>
      <vt:lpstr>Windows_all!MT_intern</vt:lpstr>
      <vt:lpstr>Windows_trace!MT_intern</vt:lpstr>
      <vt:lpstr>Linux_all!MT_iscc_directUUI</vt:lpstr>
      <vt:lpstr>Linux_trace!MT_iscc_directUUI</vt:lpstr>
      <vt:lpstr>Windows_all!MT_iscc_directUUI</vt:lpstr>
      <vt:lpstr>Windows_trace!MT_iscc_directUUI</vt:lpstr>
      <vt:lpstr>Linux_all!MT_iscc_route</vt:lpstr>
      <vt:lpstr>Linux_trace!MT_iscc_route</vt:lpstr>
      <vt:lpstr>Windows_all!MT_iscc_route</vt:lpstr>
      <vt:lpstr>Windows_trace!MT_iscc_route</vt:lpstr>
      <vt:lpstr>Linux_all!MT_iscc_source</vt:lpstr>
      <vt:lpstr>Linux_trace!MT_iscc_source</vt:lpstr>
      <vt:lpstr>Windows_all!MT_iscc_source</vt:lpstr>
      <vt:lpstr>Windows_trace!MT_iscc_source</vt:lpstr>
      <vt:lpstr>Linux_all!MT_mclients</vt:lpstr>
      <vt:lpstr>Linux_trace!MT_mclients</vt:lpstr>
      <vt:lpstr>Windows_all!MT_mclients</vt:lpstr>
      <vt:lpstr>Windows_trace!MT_mclients</vt:lpstr>
      <vt:lpstr>Linux_all!MT_monitor</vt:lpstr>
      <vt:lpstr>Linux_trace!MT_monitor</vt:lpstr>
      <vt:lpstr>Windows_all!MT_monitor</vt:lpstr>
      <vt:lpstr>Windows_trace!MT_monitor</vt:lpstr>
      <vt:lpstr>Linux_all!MT_predictive_merge</vt:lpstr>
      <vt:lpstr>Linux_trace!MT_predictive_merge</vt:lpstr>
      <vt:lpstr>Windows_all!MT_predictive_merge</vt:lpstr>
      <vt:lpstr>Windows_trace!MT_predictive_merge</vt:lpstr>
      <vt:lpstr>Linux_all!MT_predictive_route</vt:lpstr>
      <vt:lpstr>Linux_trace!MT_predictive_route</vt:lpstr>
      <vt:lpstr>Windows_all!MT_predictive_route</vt:lpstr>
      <vt:lpstr>Windows_trace!MT_predictive_route</vt:lpstr>
      <vt:lpstr>Linux_all!MT_record</vt:lpstr>
      <vt:lpstr>Linux_trace!MT_record</vt:lpstr>
      <vt:lpstr>Windows_all!MT_record</vt:lpstr>
      <vt:lpstr>Windows_trace!MT_record</vt:lpstr>
      <vt:lpstr>Linux_all!MT_Redirect</vt:lpstr>
      <vt:lpstr>Linux_trace!MT_Redirect</vt:lpstr>
      <vt:lpstr>Windows_all!MT_Redirect</vt:lpstr>
      <vt:lpstr>Windows_trace!MT_Redirect</vt:lpstr>
      <vt:lpstr>Linux_all!MT_treatment</vt:lpstr>
      <vt:lpstr>Linux_trace!MT_treatment</vt:lpstr>
      <vt:lpstr>Windows_all!MT_treatment</vt:lpstr>
      <vt:lpstr>Windows_trace!MT_treatment</vt:lpstr>
      <vt:lpstr>Linux_all!MT_treatment_next</vt:lpstr>
      <vt:lpstr>Linux_trace!MT_treatment_next</vt:lpstr>
      <vt:lpstr>Windows_all!MT_treatment_next</vt:lpstr>
      <vt:lpstr>Windows_trace!MT_treatment_next</vt:lpstr>
      <vt:lpstr>Linux_all!MT_update</vt:lpstr>
      <vt:lpstr>Linux_trace!MT_update</vt:lpstr>
      <vt:lpstr>Windows_all!MT_update</vt:lpstr>
      <vt:lpstr>Windows_trace!MT_update</vt:lpstr>
      <vt:lpstr>Linux_all!MT_vqdata</vt:lpstr>
      <vt:lpstr>Linux_trace!MT_vqdata</vt:lpstr>
      <vt:lpstr>Windows_all!MT_vqdata</vt:lpstr>
      <vt:lpstr>Windows_trace!MT_vqdata</vt:lpstr>
      <vt:lpstr>Linux_all!MT_vqrate</vt:lpstr>
      <vt:lpstr>Linux_trace!MT_vqrate</vt:lpstr>
      <vt:lpstr>Windows_all!MT_vqrate</vt:lpstr>
      <vt:lpstr>Windows_trace!MT_vqrate</vt:lpstr>
      <vt:lpstr>Network!NSIP_1confr</vt:lpstr>
      <vt:lpstr>Network!NSIP_1xfer</vt:lpstr>
      <vt:lpstr>Network!NSIP_2confr</vt:lpstr>
      <vt:lpstr>Network!NSIP_2xfer</vt:lpstr>
      <vt:lpstr>Network!NSIP_consult</vt:lpstr>
      <vt:lpstr>Network!NSIP_inbound</vt:lpstr>
      <vt:lpstr>Network!NSIP_intern</vt:lpstr>
      <vt:lpstr>Network!NSIP_monitor</vt:lpstr>
      <vt:lpstr>Network!NSIP_predictive_merge</vt:lpstr>
      <vt:lpstr>Network!NSIP_predictive_route</vt:lpstr>
      <vt:lpstr>Network!NSIP_record</vt:lpstr>
      <vt:lpstr>Network!NSIP_Redirect</vt:lpstr>
      <vt:lpstr>Network!NSIP_treatment</vt:lpstr>
      <vt:lpstr>Network!NSIP_treatment_next</vt:lpstr>
      <vt:lpstr>Network!NTlib_1confr</vt:lpstr>
      <vt:lpstr>Network!NTlib_1xfer</vt:lpstr>
      <vt:lpstr>Network!NTlib_2confr</vt:lpstr>
      <vt:lpstr>Network!NTlib_2xfer</vt:lpstr>
      <vt:lpstr>Network!NTlib_consult</vt:lpstr>
      <vt:lpstr>Network!NTlib_data</vt:lpstr>
      <vt:lpstr>Network!NTlib_inbound</vt:lpstr>
      <vt:lpstr>Network!NTlib_intern</vt:lpstr>
      <vt:lpstr>Network!NTLib_ISCC</vt:lpstr>
      <vt:lpstr>Network!NTlib_monitor</vt:lpstr>
      <vt:lpstr>Network!NTlib_predictive_merge</vt:lpstr>
      <vt:lpstr>Network!NTlib_predictive_route</vt:lpstr>
      <vt:lpstr>Network!NTlib_record</vt:lpstr>
      <vt:lpstr>Network!NTlib_Redirect</vt:lpstr>
      <vt:lpstr>Network!NTlib_treatment</vt:lpstr>
      <vt:lpstr>Network!NTlib_treatment_next</vt:lpstr>
      <vt:lpstr>'Input&amp;Calculation (Redirect)'!platform</vt:lpstr>
      <vt:lpstr>platform</vt:lpstr>
      <vt:lpstr>Linux_all!PR_1confr</vt:lpstr>
      <vt:lpstr>Linux_trace!PR_1confr</vt:lpstr>
      <vt:lpstr>Windows_all!PR_1confr</vt:lpstr>
      <vt:lpstr>Windows_trace!PR_1confr</vt:lpstr>
      <vt:lpstr>Linux_all!PR_1xfer</vt:lpstr>
      <vt:lpstr>Linux_trace!PR_1xfer</vt:lpstr>
      <vt:lpstr>Windows_all!PR_1xfer</vt:lpstr>
      <vt:lpstr>Windows_trace!PR_1xfer</vt:lpstr>
      <vt:lpstr>Linux_all!PR_2confr</vt:lpstr>
      <vt:lpstr>Linux_trace!PR_2confr</vt:lpstr>
      <vt:lpstr>Windows_all!PR_2confr</vt:lpstr>
      <vt:lpstr>Windows_trace!PR_2confr</vt:lpstr>
      <vt:lpstr>Linux_all!PR_2xfer</vt:lpstr>
      <vt:lpstr>Linux_trace!PR_2xfer</vt:lpstr>
      <vt:lpstr>Windows_all!PR_2xfer</vt:lpstr>
      <vt:lpstr>Windows_trace!PR_2xfer</vt:lpstr>
      <vt:lpstr>Linux_all!PR_consult</vt:lpstr>
      <vt:lpstr>Linux_trace!PR_consult</vt:lpstr>
      <vt:lpstr>Windows_all!PR_consult</vt:lpstr>
      <vt:lpstr>Windows_trace!PR_consult</vt:lpstr>
      <vt:lpstr>Linux_all!PR_inbound</vt:lpstr>
      <vt:lpstr>Linux_trace!PR_inbound</vt:lpstr>
      <vt:lpstr>Windows_all!PR_inbound</vt:lpstr>
      <vt:lpstr>Windows_trace!PR_inbound</vt:lpstr>
      <vt:lpstr>Linux_all!PR_intern</vt:lpstr>
      <vt:lpstr>Linux_trace!PR_intern</vt:lpstr>
      <vt:lpstr>Windows_all!PR_intern</vt:lpstr>
      <vt:lpstr>Windows_trace!PR_intern</vt:lpstr>
      <vt:lpstr>Linux_all!PR_monitor</vt:lpstr>
      <vt:lpstr>Linux_trace!PR_monitor</vt:lpstr>
      <vt:lpstr>Windows_all!PR_monitor</vt:lpstr>
      <vt:lpstr>Windows_trace!PR_monitor</vt:lpstr>
      <vt:lpstr>Linux_all!PR_predictive_merge</vt:lpstr>
      <vt:lpstr>Linux_trace!PR_predictive_merge</vt:lpstr>
      <vt:lpstr>Windows_all!PR_predictive_merge</vt:lpstr>
      <vt:lpstr>Windows_trace!PR_predictive_merge</vt:lpstr>
      <vt:lpstr>Linux_all!PR_predictive_route</vt:lpstr>
      <vt:lpstr>Linux_trace!PR_predictive_route</vt:lpstr>
      <vt:lpstr>Windows_all!PR_predictive_route</vt:lpstr>
      <vt:lpstr>Windows_trace!PR_predictive_route</vt:lpstr>
      <vt:lpstr>Linux_all!PR_Record</vt:lpstr>
      <vt:lpstr>Linux_trace!PR_record</vt:lpstr>
      <vt:lpstr>Windows_all!PR_record</vt:lpstr>
      <vt:lpstr>Windows_trace!PR_record</vt:lpstr>
      <vt:lpstr>Linux_all!PR_treatment</vt:lpstr>
      <vt:lpstr>Linux_trace!PR_treatment</vt:lpstr>
      <vt:lpstr>Windows_all!PR_treatment</vt:lpstr>
      <vt:lpstr>Windows_trace!PR_treatment</vt:lpstr>
      <vt:lpstr>Linux_all!PR_treatment_next</vt:lpstr>
      <vt:lpstr>Linux_trace!PR_treatment_next</vt:lpstr>
      <vt:lpstr>Windows_all!PR_treatment_next</vt:lpstr>
      <vt:lpstr>Windows_trace!PR_treatment_next</vt:lpstr>
      <vt:lpstr>Network!R_size</vt:lpstr>
      <vt:lpstr>Linux_all!ST_1confr</vt:lpstr>
      <vt:lpstr>Linux_trace!ST_1confr</vt:lpstr>
      <vt:lpstr>Windows_all!ST_1confr</vt:lpstr>
      <vt:lpstr>Windows_trace!ST_1confr</vt:lpstr>
      <vt:lpstr>Linux_all!ST_1xfer</vt:lpstr>
      <vt:lpstr>Linux_trace!ST_1xfer</vt:lpstr>
      <vt:lpstr>Windows_all!ST_1xfer</vt:lpstr>
      <vt:lpstr>Windows_trace!ST_1xfer</vt:lpstr>
      <vt:lpstr>Linux_all!ST_2confr</vt:lpstr>
      <vt:lpstr>Linux_trace!ST_2confr</vt:lpstr>
      <vt:lpstr>Windows_all!ST_2confr</vt:lpstr>
      <vt:lpstr>Windows_trace!ST_2confr</vt:lpstr>
      <vt:lpstr>Linux_all!ST_2xfer</vt:lpstr>
      <vt:lpstr>Linux_trace!ST_2xfer</vt:lpstr>
      <vt:lpstr>Windows_all!ST_2xfer</vt:lpstr>
      <vt:lpstr>Windows_trace!ST_2xfer</vt:lpstr>
      <vt:lpstr>Linux_all!ST_aclients</vt:lpstr>
      <vt:lpstr>Linux_trace!ST_aclients</vt:lpstr>
      <vt:lpstr>Windows_all!ST_aclients</vt:lpstr>
      <vt:lpstr>Windows_trace!ST_aclients</vt:lpstr>
      <vt:lpstr>Linux_all!ST_attach</vt:lpstr>
      <vt:lpstr>Linux_trace!ST_attach</vt:lpstr>
      <vt:lpstr>Windows_all!ST_attach</vt:lpstr>
      <vt:lpstr>Windows_trace!ST_attach</vt:lpstr>
      <vt:lpstr>Linux_all!ST_consult</vt:lpstr>
      <vt:lpstr>Linux_trace!ST_consult</vt:lpstr>
      <vt:lpstr>Windows_all!ST_consult</vt:lpstr>
      <vt:lpstr>Windows_trace!ST_consult</vt:lpstr>
      <vt:lpstr>Linux_all!ST_inbound</vt:lpstr>
      <vt:lpstr>Linux_trace!ST_inbound</vt:lpstr>
      <vt:lpstr>Windows_all!ST_inbound</vt:lpstr>
      <vt:lpstr>Windows_trace!ST_inbound</vt:lpstr>
      <vt:lpstr>Linux_all!ST_intern</vt:lpstr>
      <vt:lpstr>Linux_trace!ST_intern</vt:lpstr>
      <vt:lpstr>Windows_all!ST_intern</vt:lpstr>
      <vt:lpstr>Windows_trace!ST_intern</vt:lpstr>
      <vt:lpstr>Linux_all!ST_iscc_directUUI</vt:lpstr>
      <vt:lpstr>Linux_trace!ST_iscc_directUUI</vt:lpstr>
      <vt:lpstr>Windows_all!ST_iscc_directUUI</vt:lpstr>
      <vt:lpstr>Windows_trace!ST_iscc_directUUI</vt:lpstr>
      <vt:lpstr>Linux_all!ST_iscc_route</vt:lpstr>
      <vt:lpstr>Linux_trace!ST_iscc_route</vt:lpstr>
      <vt:lpstr>Windows_all!ST_iscc_route</vt:lpstr>
      <vt:lpstr>Windows_trace!ST_iscc_route</vt:lpstr>
      <vt:lpstr>Linux_all!ST_iscc_source</vt:lpstr>
      <vt:lpstr>Linux_trace!ST_iscc_source</vt:lpstr>
      <vt:lpstr>Windows_all!ST_iscc_source</vt:lpstr>
      <vt:lpstr>Windows_trace!ST_iscc_source</vt:lpstr>
      <vt:lpstr>Linux_all!ST_mclients</vt:lpstr>
      <vt:lpstr>Linux_trace!ST_mclients</vt:lpstr>
      <vt:lpstr>Windows_all!ST_mclients</vt:lpstr>
      <vt:lpstr>Windows_trace!ST_mclients</vt:lpstr>
      <vt:lpstr>Linux_all!ST_monitor</vt:lpstr>
      <vt:lpstr>Linux_trace!ST_monitor</vt:lpstr>
      <vt:lpstr>Windows_all!ST_monitor</vt:lpstr>
      <vt:lpstr>Windows_trace!ST_monitor</vt:lpstr>
      <vt:lpstr>Linux_all!ST_predictive_merge</vt:lpstr>
      <vt:lpstr>Linux_trace!ST_predictive_merge</vt:lpstr>
      <vt:lpstr>Windows_all!ST_predictive_merge</vt:lpstr>
      <vt:lpstr>Windows_trace!ST_predictive_merge</vt:lpstr>
      <vt:lpstr>Linux_all!ST_predictive_route</vt:lpstr>
      <vt:lpstr>Linux_trace!ST_predictive_route</vt:lpstr>
      <vt:lpstr>Windows_all!ST_predictive_route</vt:lpstr>
      <vt:lpstr>Windows_trace!ST_predictive_route</vt:lpstr>
      <vt:lpstr>Linux_all!ST_Record</vt:lpstr>
      <vt:lpstr>Linux_trace!ST_record</vt:lpstr>
      <vt:lpstr>Windows_all!ST_record</vt:lpstr>
      <vt:lpstr>Windows_trace!ST_record</vt:lpstr>
      <vt:lpstr>Linux_all!ST_Redirect</vt:lpstr>
      <vt:lpstr>Linux_trace!ST_Redirect</vt:lpstr>
      <vt:lpstr>Windows_all!ST_Redirect</vt:lpstr>
      <vt:lpstr>Windows_trace!ST_Redirect</vt:lpstr>
      <vt:lpstr>Linux_all!ST_treatment</vt:lpstr>
      <vt:lpstr>Linux_trace!ST_treatment</vt:lpstr>
      <vt:lpstr>Windows_all!ST_treatment</vt:lpstr>
      <vt:lpstr>Windows_trace!ST_treatment</vt:lpstr>
      <vt:lpstr>Linux_all!ST_treatment_next</vt:lpstr>
      <vt:lpstr>Linux_trace!ST_treatment_next</vt:lpstr>
      <vt:lpstr>Windows_all!ST_treatment_next</vt:lpstr>
      <vt:lpstr>Windows_trace!ST_treatment_next</vt:lpstr>
      <vt:lpstr>Linux_all!ST_update</vt:lpstr>
      <vt:lpstr>Linux_trace!ST_update</vt:lpstr>
      <vt:lpstr>Windows_all!ST_update</vt:lpstr>
      <vt:lpstr>Windows_trace!ST_update</vt:lpstr>
      <vt:lpstr>Linux_all!ST_vqdata</vt:lpstr>
      <vt:lpstr>Linux_trace!ST_vqdata</vt:lpstr>
      <vt:lpstr>Windows_all!ST_vqdata</vt:lpstr>
      <vt:lpstr>Windows_trace!ST_vqdata</vt:lpstr>
      <vt:lpstr>Linux_all!ST_vqrate</vt:lpstr>
      <vt:lpstr>Linux_trace!ST_vqrate</vt:lpstr>
      <vt:lpstr>Windows_all!ST_vqrate</vt:lpstr>
      <vt:lpstr>Windows_trace!ST_vqrate</vt:lpstr>
    </vt:vector>
  </TitlesOfParts>
  <Company>Genesys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Genesys</dc:creator>
  <cp:lastModifiedBy>Valentina Petrov</cp:lastModifiedBy>
  <cp:lastPrinted>2011-12-07T22:26:15Z</cp:lastPrinted>
  <dcterms:created xsi:type="dcterms:W3CDTF">2011-08-24T11:09:55Z</dcterms:created>
  <dcterms:modified xsi:type="dcterms:W3CDTF">2017-03-29T02:32:38Z</dcterms:modified>
</cp:coreProperties>
</file>